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9960"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<sst xmlns="http://schemas.openxmlformats.org/spreadsheetml/2006/main" count="3789" uniqueCount="2997">
  <si>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</si>
  <si>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</si>
  <si>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</si>
  <si>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</si>
  <si>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</si>
  <si>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</si>
  <si>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</si>
  <si>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</si>
  <si>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</si>
  <si>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</si>
  <si>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</si>
  <si>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</si>
  <si>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</si>
  <si>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</si>
  <si>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</si>
  <si>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</si>
  <si>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</si>
  <si>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</si>
  <si>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</si>
  <si>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</si>
  <si>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</si>
  <si>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</si>
  <si>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</si>
  <si>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</si>
  <si>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</si>
  <si>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</si>
  <si>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</si>
  <si>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</si>
  <si>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</si>
  <si>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</si>
  <si>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</si>
  <si>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</si>
  <si>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</si>
  <si>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</si>
  <si>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</si>
  <si>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</si>
  <si>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</si>
  <si>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</si>
  <si>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</si>
  <si>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</si>
  <si>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</si>
  <si>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</si>
  <si>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</si>
  <si>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</si>
  <si>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</si>
  <si>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</si>
  <si>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</si>
  <si>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</si>
  <si>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</si>
  <si>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</si>
  <si>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</si>
  <si>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</si>
  <si>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</si>
  <si>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</si>
  <si>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</si>
  <si>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</si>
  <si>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</si>
  <si>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</si>
  <si>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</si>
  <si>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</si>
  <si>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</si>
  <si>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</si>
  <si>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</si>
  <si>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</si>
  <si>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</si>
  <si>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</si>
  <si>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</si>
  <si>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</si>
  <si>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</si>
  <si>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</si>
  <si>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</si>
  <si>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</si>
  <si>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</si>
  <si>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</si>
  <si>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</si>
  <si>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</si>
  <si>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</si>
  <si>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</si>
  <si>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</si>
  <si>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</si>
  <si>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</si>
  <si>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</si>
  <si>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</si>
  <si>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</si>
  <si>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</si>
  <si>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</si>
  <si>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</si>
  <si>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</si>
  <si>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</si>
  <si>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</si>
  <si>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</si>
  <si>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</si>
  <si>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</si>
  <si>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</si>
  <si>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</si>
  <si>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</si>
  <si>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</si>
  <si>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</si>
  <si>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</si>
  <si>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</si>
  <si>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</si>
  <si>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</si>
  <si>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</si>
  <si>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</si>
  <si>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</si>
  <si>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</si>
  <si>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</si>
  <si>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</si>
  <si>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</si>
  <si>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</si>
  <si>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</si>
  <si>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</si>
  <si>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</si>
  <si>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</si>
  <si>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</si>
  <si>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</si>
  <si>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</si>
  <si>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</si>
  <si>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</si>
  <si>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</si>
  <si>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</si>
  <si>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</si>
  <si>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</si>
  <si>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</si>
  <si>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</si>
  <si>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</si>
  <si>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</si>
  <si>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</si>
  <si>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</si>
  <si>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</si>
  <si>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</si>
  <si>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</si>
  <si>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</si>
  <si>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</si>
  <si>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</si>
  <si>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</si>
  <si>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</si>
  <si>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</si>
  <si>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</si>
  <si>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</si>
  <si>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</si>
  <si>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</si>
  <si>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</si>
  <si>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</si>
  <si>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</si>
  <si>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</si>
  <si>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</si>
  <si>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</si>
  <si>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</si>
  <si>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</si>
  <si>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</si>
  <si>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</si>
  <si>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</si>
  <si>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</si>
  <si>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</si>
  <si>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</si>
  <si>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</si>
  <si>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</si>
  <si>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</si>
  <si>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</si>
  <si>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</si>
  <si>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</si>
  <si>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</si>
  <si>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</si>
  <si>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</si>
  <si>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</si>
  <si>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</si>
  <si>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</si>
  <si>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</si>
  <si>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</si>
  <si>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</si>
  <si>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</si>
  <si>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</si>
  <si>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</si>
  <si>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</si>
  <si>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</si>
  <si>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</si>
  <si>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</si>
  <si>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</si>
  <si>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</si>
  <si>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</si>
  <si>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</si>
  <si>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</si>
  <si>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</si>
  <si>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</si>
  <si>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</si>
  <si>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</si>
  <si>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</si>
  <si>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</si>
  <si>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</si>
  <si>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</si>
  <si>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</si>
  <si>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</si>
  <si>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</si>
  <si>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</si>
  <si>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</si>
  <si>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</si>
  <si>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</si>
  <si>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</si>
  <si>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</si>
  <si>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</si>
  <si>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</si>
  <si>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</si>
  <si>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</si>
  <si>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</si>
  <si>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</si>
  <si>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</si>
  <si>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</si>
  <si>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</si>
  <si>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</si>
  <si>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</si>
  <si>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</si>
  <si>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</si>
  <si>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</si>
  <si>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</si>
  <si>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</si>
  <si>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</si>
  <si>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</si>
  <si>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</si>
  <si>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</si>
  <si>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</si>
  <si>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</si>
  <si>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</si>
  <si>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</si>
  <si>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</si>
  <si>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</si>
  <si>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</si>
  <si>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</si>
  <si>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</si>
  <si>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</si>
  <si>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</si>
  <si>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</si>
  <si>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</si>
  <si>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</si>
  <si>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</si>
  <si>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</si>
  <si>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</si>
  <si>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</si>
  <si>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</si>
  <si>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</si>
  <si>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</si>
  <si>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</si>
  <si>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</si>
  <si>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</si>
  <si>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</si>
  <si>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</si>
  <si>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</si>
  <si>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</si>
  <si>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</si>
  <si>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</si>
  <si>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</si>
  <si>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</si>
  <si>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</si>
  <si>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</si>
  <si>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</si>
  <si>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</si>
  <si>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</si>
  <si>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</si>
  <si>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</si>
  <si>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</si>
  <si>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</si>
  <si>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</si>
  <si>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</si>
  <si>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</si>
  <si>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</si>
  <si>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</si>
  <si>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</si>
  <si>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</si>
  <si>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</si>
  <si>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</si>
  <si>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</si>
  <si>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</si>
  <si>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</si>
  <si>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</si>
  <si>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</si>
  <si>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</si>
  <si>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</si>
  <si>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</si>
  <si>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</si>
  <si>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</si>
  <si>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</si>
  <si>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</si>
  <si>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</si>
  <si>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</si>
  <si>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</si>
  <si>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</si>
  <si>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</si>
  <si>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</si>
  <si>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</si>
  <si>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</si>
  <si>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</si>
  <si>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</si>
  <si>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</si>
  <si>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</si>
  <si>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</si>
  <si>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</si>
  <si>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</si>
  <si>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</si>
  <si>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</si>
  <si>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</si>
  <si>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</si>
  <si>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</si>
  <si>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</si>
  <si>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</si>
  <si>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</si>
  <si>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</si>
  <si>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</si>
  <si>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</si>
  <si>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</si>
  <si>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</si>
  <si>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</si>
  <si>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</si>
  <si>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</si>
  <si>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</si>
  <si>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</si>
  <si>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</si>
  <si>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</si>
  <si>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</si>
  <si>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</si>
  <si>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</si>
  <si>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</si>
  <si>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</si>
  <si>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</si>
  <si>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</si>
  <si>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</si>
  <si>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</si>
  <si>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</si>
  <si>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</si>
  <si>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</si>
  <si>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</si>
  <si>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</si>
  <si>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</si>
  <si>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</si>
  <si>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</si>
  <si>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</si>
  <si>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</si>
  <si>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</si>
  <si>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</si>
  <si>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</si>
  <si>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</si>
  <si>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</si>
  <si>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</si>
  <si>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</si>
  <si>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</si>
  <si>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</si>
  <si>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</si>
  <si>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</si>
  <si>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</si>
  <si>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</si>
  <si>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</si>
  <si>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</si>
  <si>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</si>
  <si>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</si>
  <si>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</si>
  <si>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</si>
  <si>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</si>
  <si>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</si>
  <si>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</si>
  <si>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</si>
  <si>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</si>
  <si>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</si>
  <si>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</si>
  <si>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</si>
  <si>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</si>
  <si>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</si>
  <si>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</si>
  <si>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</si>
  <si>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</si>
  <si>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</si>
  <si>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</si>
  <si>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</si>
  <si>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</si>
  <si>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</si>
  <si>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</si>
  <si>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</si>
  <si>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</si>
  <si>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</si>
  <si>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</si>
  <si>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</si>
  <si>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</si>
  <si>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</si>
  <si>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</si>
  <si>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</si>
  <si>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</si>
  <si>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</si>
  <si>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</si>
  <si>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</si>
  <si>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</si>
  <si>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</si>
  <si>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</si>
  <si>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</si>
  <si>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</si>
  <si>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</si>
  <si>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</si>
  <si>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</si>
  <si>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</si>
  <si>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</si>
  <si>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</si>
  <si>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</si>
  <si>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</si>
  <si>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</si>
  <si>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</si>
  <si>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</si>
  <si>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</si>
  <si>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</si>
  <si>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</si>
  <si>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</si>
  <si>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</si>
  <si>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</si>
  <si>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</si>
  <si>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</si>
  <si>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</si>
  <si>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</si>
  <si>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</si>
  <si>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</si>
  <si>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</si>
  <si>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</si>
  <si>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</si>
  <si>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</si>
  <si>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</si>
  <si>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</si>
  <si>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</si>
  <si>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</si>
  <si>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</si>
  <si>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</si>
  <si>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</si>
  <si>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</si>
  <si>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</si>
  <si>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</si>
  <si>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</si>
  <si>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</si>
  <si>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</si>
  <si>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</si>
  <si>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</si>
  <si>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</si>
  <si>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</si>
  <si>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</si>
  <si>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</si>
  <si>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</si>
  <si>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</si>
  <si>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</si>
  <si>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</si>
  <si>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</si>
  <si>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</si>
  <si>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</si>
  <si>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</si>
  <si>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</si>
  <si>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</si>
  <si>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</si>
  <si>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</si>
  <si>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</si>
  <si>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</si>
  <si>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</si>
  <si>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</si>
  <si>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</si>
  <si>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</si>
  <si>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</si>
  <si>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</si>
  <si>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</si>
  <si>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</si>
  <si>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</si>
  <si>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</si>
  <si>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</si>
  <si>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</si>
  <si>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</si>
  <si>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</si>
  <si>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</si>
  <si>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</si>
  <si>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</si>
  <si>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</si>
  <si>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</si>
  <si>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</si>
  <si>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</si>
  <si>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</si>
  <si>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</si>
  <si>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</si>
  <si>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</si>
  <si>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</si>
  <si>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</si>
  <si>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</si>
  <si>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</si>
  <si>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</si>
  <si>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</si>
  <si>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</si>
  <si>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</si>
  <si>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</si>
  <si>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</si>
  <si>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</si>
  <si>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</si>
  <si>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</si>
  <si>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</si>
  <si>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</si>
  <si>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</si>
  <si>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</si>
  <si>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</si>
  <si>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</si>
  <si>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</si>
  <si>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</si>
  <si>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</si>
  <si>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</si>
  <si>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</si>
  <si>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</si>
  <si>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</si>
  <si>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</si>
  <si>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</si>
  <si>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</si>
  <si>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</si>
  <si>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</si>
  <si>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</si>
  <si>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</si>
  <si>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</si>
  <si>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</si>
  <si>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</si>
  <si>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</si>
  <si>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</si>
  <si>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</si>
  <si>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</si>
  <si>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</si>
  <si>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</si>
  <si>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</si>
  <si>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</si>
  <si>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</si>
  <si>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</si>
  <si>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</si>
  <si>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</si>
  <si>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</si>
  <si>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</si>
  <si>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</si>
  <si>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</si>
  <si>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</si>
  <si>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</si>
  <si>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</si>
  <si>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</si>
  <si>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</si>
  <si>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</si>
  <si>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</si>
  <si>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</si>
  <si>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</si>
  <si>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</si>
  <si>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</si>
  <si>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</si>
  <si>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</si>
  <si>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</si>
  <si>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</si>
  <si>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</si>
  <si>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</si>
  <si>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</si>
  <si>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</si>
  <si>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</si>
  <si>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</si>
  <si>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</si>
  <si>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</si>
  <si>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</si>
  <si>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</si>
  <si>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</si>
  <si>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</si>
  <si>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</si>
  <si>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</si>
  <si>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</si>
  <si>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</si>
  <si>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</si>
  <si>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</si>
  <si>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</si>
  <si>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</si>
  <si>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</si>
  <si>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</si>
  <si>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</si>
  <si>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</si>
  <si>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</si>
  <si>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</si>
  <si>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</si>
  <si>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</si>
  <si>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</si>
  <si>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</si>
  <si>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</si>
  <si>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</si>
  <si>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</si>
  <si>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</si>
  <si>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</si>
  <si>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</si>
  <si>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</si>
  <si>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</si>
  <si>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</si>
  <si>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</si>
  <si>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</si>
  <si>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</si>
  <si>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</si>
  <si>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</si>
  <si>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</si>
  <si>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</si>
  <si>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</si>
  <si>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</si>
  <si>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</si>
  <si>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</si>
  <si>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</si>
  <si>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</si>
  <si>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</si>
  <si>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</si>
  <si>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</si>
  <si>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</si>
  <si>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</si>
  <si>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</si>
  <si>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</si>
  <si>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</si>
  <si>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</si>
  <si>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</si>
  <si>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</si>
  <si>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</si>
  <si>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</si>
  <si>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</si>
  <si>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</si>
  <si>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</si>
  <si>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</si>
  <si>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</si>
  <si>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</si>
  <si>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</si>
  <si>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</si>
  <si>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</si>
  <si>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</si>
  <si>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</si>
  <si>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</si>
  <si>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</si>
  <si>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</si>
  <si>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</si>
  <si>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</si>
  <si>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</si>
  <si>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</si>
  <si>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</si>
  <si>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</si>
  <si>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</si>
  <si>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</si>
  <si>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</si>
  <si>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</si>
  <si>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</si>
  <si>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</si>
  <si>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</si>
  <si>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</si>
  <si>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</si>
  <si>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</si>
  <si>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</si>
  <si>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</si>
  <si>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</si>
  <si>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</si>
  <si>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</si>
  <si>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</si>
  <si>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</si>
  <si>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</si>
  <si>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</si>
  <si>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</si>
  <si>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</si>
  <si>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</si>
  <si>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</si>
  <si>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</si>
  <si>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</si>
  <si>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</si>
  <si>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</si>
  <si>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</si>
  <si>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</si>
  <si>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</si>
  <si>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</si>
  <si>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</si>
  <si>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</si>
  <si>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</si>
  <si>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</si>
  <si>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</si>
  <si>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</si>
  <si>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</si>
  <si>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</si>
  <si>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</si>
  <si>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</si>
  <si>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</si>
  <si>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</si>
  <si>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</si>
  <si>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</si>
  <si>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</si>
  <si>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</si>
  <si>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</si>
  <si>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</si>
  <si>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</si>
  <si>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</si>
  <si>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</si>
  <si>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</si>
  <si>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</si>
  <si>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</si>
  <si>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</si>
  <si>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</si>
  <si>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</si>
  <si>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</si>
  <si>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</si>
  <si>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</si>
  <si>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</si>
  <si>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</si>
  <si>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</si>
  <si>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</si>
  <si>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</si>
  <si>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</si>
  <si>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</si>
  <si>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</si>
  <si>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</si>
  <si>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</si>
  <si>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</si>
  <si>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</si>
  <si>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</si>
  <si>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</si>
  <si>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</si>
  <si>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</si>
  <si>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</si>
  <si>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</si>
  <si>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</si>
  <si>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</si>
  <si>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</si>
  <si>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</si>
  <si>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</si>
  <si>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</si>
  <si>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</si>
  <si>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</si>
  <si>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</si>
  <si>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</si>
  <si>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</si>
  <si>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</si>
  <si>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</si>
  <si>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</si>
  <si>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</si>
  <si>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</si>
  <si>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</si>
  <si>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</si>
  <si>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</si>
  <si>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</si>
  <si>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</si>
  <si>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</si>
  <si>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</si>
  <si>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</si>
  <si>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</si>
  <si>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</si>
  <si>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</si>
  <si>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</si>
  <si>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</si>
  <si>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</si>
  <si>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</si>
  <si>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</si>
  <si>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</si>
  <si>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</si>
  <si>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</si>
  <si>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</si>
  <si>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</si>
  <si>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</si>
  <si>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</si>
  <si>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</si>
  <si>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</si>
  <si>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</si>
  <si>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</si>
  <si>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</si>
  <si>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</si>
  <si>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</si>
  <si>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</si>
  <si>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</si>
  <si>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</si>
  <si>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</si>
  <si>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</si>
  <si>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</si>
  <si>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</si>
  <si>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</si>
  <si>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</si>
  <si>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</si>
  <si>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</si>
  <si>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</si>
  <si>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</si>
  <si>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</si>
  <si>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</si>
  <si>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</si>
  <si>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</si>
  <si>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</si>
  <si>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</si>
  <si>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</si>
  <si>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</si>
  <si>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</si>
  <si>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</si>
  <si>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</si>
  <si>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</si>
  <si>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</si>
  <si>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</si>
  <si>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</si>
  <si>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</si>
  <si>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</si>
  <si>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</si>
  <si>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</si>
  <si>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</si>
  <si>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</si>
  <si>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</si>
  <si>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</si>
  <si>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</si>
  <si>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</si>
  <si>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</si>
  <si>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</si>
  <si>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</si>
  <si>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</si>
  <si>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</si>
  <si>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</si>
  <si>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</si>
  <si>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</si>
  <si>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</si>
  <si>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</si>
  <si>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</si>
  <si>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</si>
  <si>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</si>
  <si>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</si>
  <si>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</si>
  <si>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</si>
  <si>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</si>
  <si>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</si>
  <si>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</si>
  <si>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</si>
  <si>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</si>
  <si>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</si>
  <si>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</si>
  <si>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</si>
  <si>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</si>
  <si>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</si>
  <si>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</si>
  <si>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</si>
  <si>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</si>
  <si>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</si>
  <si>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</si>
  <si>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</si>
  <si>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</si>
  <si>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</si>
  <si>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</si>
  <si>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</si>
  <si>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</si>
  <si>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</si>
  <si>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</si>
  <si>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</si>
  <si>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</si>
  <si>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</si>
  <si>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</si>
  <si>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</si>
  <si>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</si>
  <si>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</si>
  <si>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</si>
  <si>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</si>
  <si>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</si>
  <si>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</si>
  <si>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</si>
  <si>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</si>
  <si>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</si>
  <si>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</si>
  <si>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</si>
  <si>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</si>
  <si>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</si>
  <si>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</si>
  <si>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</si>
  <si>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</si>
  <si>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</si>
  <si>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</si>
  <si>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</si>
  <si>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</si>
  <si>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</si>
  <si>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</si>
  <si>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</si>
  <si>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</si>
  <si>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</si>
  <si>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</si>
  <si>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</si>
  <si>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</si>
  <si>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</si>
  <si>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</si>
  <si>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</si>
  <si>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</si>
  <si>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</si>
  <si>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</si>
  <si>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</si>
  <si>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</si>
  <si>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</si>
  <si>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</si>
  <si>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</si>
  <si>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</si>
  <si>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</si>
  <si>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</si>
  <si>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</si>
  <si>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</si>
  <si>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</si>
  <si>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</si>
  <si>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</si>
  <si>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</si>
  <si>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</si>
  <si>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</si>
  <si>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</si>
  <si>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</si>
  <si>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</si>
  <si>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</si>
  <si>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</si>
  <si>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</si>
  <si>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</si>
  <si>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</si>
  <si>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</si>
  <si>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</si>
  <si>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</si>
  <si>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</si>
  <si>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</si>
  <si>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</si>
  <si>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</si>
  <si>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</si>
  <si>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</si>
  <si>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</si>
  <si>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</si>
  <si>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</si>
  <si>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</si>
  <si>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</si>
  <si>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</si>
  <si>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</si>
  <si>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</si>
  <si>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</si>
  <si>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</si>
  <si>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</si>
  <si>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</si>
  <si>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</si>
  <si>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</si>
  <si>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</si>
  <si>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</si>
  <si>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</si>
  <si>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</si>
  <si>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</si>
  <si>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</si>
  <si>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</si>
  <si>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</si>
  <si>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</si>
  <si>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</si>
  <si>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</si>
  <si>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</si>
  <si>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</si>
  <si>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</si>
  <si>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</si>
  <si>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</si>
  <si>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</si>
  <si>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</si>
  <si>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</si>
  <si>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</si>
  <si>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</si>
  <si>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</si>
  <si>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</si>
  <si>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</si>
  <si>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</si>
  <si>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</si>
  <si>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</si>
  <si>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</si>
  <si>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</si>
  <si>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</si>
  <si>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</si>
  <si>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</si>
  <si>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</si>
  <si>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</si>
  <si>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</si>
  <si>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</si>
  <si>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</si>
  <si>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</si>
  <si>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</si>
  <si>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</si>
  <si>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</si>
  <si>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</si>
  <si>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</si>
  <si>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</si>
  <si>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</si>
  <si>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</si>
  <si>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</si>
  <si>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</si>
  <si>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</si>
  <si>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</si>
  <si>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</si>
  <si>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</si>
  <si>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</si>
  <si>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</si>
  <si>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</si>
  <si>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</si>
  <si>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</si>
  <si>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</si>
  <si>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</si>
  <si>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</si>
  <si>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</si>
  <si>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</si>
  <si>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</si>
  <si>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</si>
  <si>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</si>
  <si>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</si>
  <si>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</si>
  <si>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</si>
  <si>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</si>
  <si>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</si>
  <si>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</si>
  <si>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</si>
  <si>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</si>
  <si>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</si>
  <si>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</si>
  <si>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</si>
  <si>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</si>
  <si>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</si>
  <si>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</si>
  <si>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</si>
  <si>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</si>
  <si>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</si>
  <si>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</si>
  <si>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</si>
  <si>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</si>
  <si>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</si>
  <si>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</si>
  <si>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</si>
  <si>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</si>
  <si>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</si>
  <si>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</si>
  <si>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</si>
  <si>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</si>
  <si>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</si>
  <si>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</si>
  <si>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</si>
  <si>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</si>
  <si>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</si>
  <si>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</si>
  <si>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</si>
  <si>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</si>
  <si>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</si>
  <si>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</si>
  <si>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</si>
  <si>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</si>
  <si>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</si>
  <si>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</si>
  <si>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</si>
  <si>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</si>
  <si>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</si>
  <si>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</si>
  <si>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</si>
  <si>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</si>
  <si>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</si>
  <si>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</si>
  <si>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</si>
  <si>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</si>
  <si>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</si>
  <si>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</si>
  <si>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</si>
  <si>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</si>
  <si>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</si>
  <si>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</si>
  <si>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</si>
  <si>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</si>
  <si>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</si>
  <si>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</si>
  <si>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</si>
  <si>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</si>
  <si>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</si>
  <si>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</si>
  <si>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</si>
  <si>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</si>
  <si>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</si>
  <si>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</si>
  <si>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</si>
  <si>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</si>
  <si>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</si>
  <si>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</si>
  <si>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</si>
  <si>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</si>
  <si>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</si>
  <si>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</si>
  <si>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</si>
  <si>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</si>
  <si>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</si>
  <si>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</si>
  <si>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</si>
  <si>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</si>
  <si>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</si>
  <si>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</si>
  <si>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</si>
  <si>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</si>
  <si>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</si>
  <si>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</si>
  <si>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</si>
  <si>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</si>
  <si>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</si>
  <si>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</si>
  <si>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</si>
  <si>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</si>
  <si>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</si>
  <si>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</si>
  <si>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</si>
  <si>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</si>
  <si>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</si>
  <si>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</si>
  <si>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</si>
  <si>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</si>
  <si>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</si>
  <si>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</si>
  <si>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</si>
  <si>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</si>
  <si>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</si>
  <si>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</si>
  <si>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</si>
  <si>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</si>
  <si>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</si>
  <si>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</si>
  <si>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</si>
  <si>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</si>
  <si>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</si>
  <si>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</si>
  <si>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</si>
  <si>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</si>
  <si>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</si>
  <si>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</si>
  <si>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</si>
  <si>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</si>
  <si>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</si>
  <si>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</si>
  <si>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</si>
  <si>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</si>
  <si>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</si>
  <si>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</si>
  <si>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</si>
  <si>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</si>
  <si>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</si>
  <si>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</si>
  <si>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</si>
  <si>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</si>
  <si>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</si>
  <si>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</si>
  <si>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</si>
  <si>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</si>
  <si>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</si>
  <si>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</si>
  <si>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</si>
  <si>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</si>
  <si>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</si>
  <si>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</si>
  <si>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</si>
  <si>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</si>
  <si>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</si>
  <si>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</si>
  <si>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</si>
  <si>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</si>
  <si>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</si>
  <si>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</si>
  <si>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</si>
  <si>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</si>
  <si>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</si>
  <si>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</si>
  <si>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</si>
  <si>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</si>
  <si>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</si>
  <si>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</si>
  <si>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</si>
  <si>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</si>
  <si>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</si>
  <si>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</si>
  <si>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</si>
  <si>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</si>
  <si>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</si>
  <si>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</si>
  <si>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</si>
  <si>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</si>
  <si>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</si>
  <si>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</si>
  <si>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</si>
  <si>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</si>
  <si>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</si>
  <si>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</si>
  <si>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</si>
  <si>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</si>
  <si>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</si>
  <si>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</si>
  <si>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</si>
  <si>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</si>
  <si>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</si>
  <si>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</si>
  <si>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</si>
  <si>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</si>
  <si>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</si>
  <si>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</si>
  <si>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</si>
  <si>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</si>
  <si>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</si>
  <si>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</si>
  <si>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</si>
  <si>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</si>
  <si>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</si>
  <si>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</si>
  <si>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</si>
  <si>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</si>
  <si>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</si>
  <si>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</si>
  <si>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</si>
  <si>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</si>
  <si>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</si>
  <si>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</si>
  <si>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</si>
  <si>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</si>
  <si>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</si>
  <si>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</si>
  <si>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</si>
  <si>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</si>
  <si>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</si>
  <si>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</si>
  <si>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</si>
  <si>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</si>
  <si>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</si>
  <si>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</si>
  <si>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</si>
  <si>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</si>
  <si>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</si>
  <si>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</si>
  <si>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</si>
  <si>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</si>
  <si>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</si>
  <si>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</si>
  <si>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</si>
  <si>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</si>
  <si>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</si>
  <si>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</si>
  <si>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</si>
  <si>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</si>
  <si>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</si>
  <si>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</si>
  <si>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</si>
  <si>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</si>
  <si>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</si>
  <si>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</si>
  <si>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</si>
  <si>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</si>
  <si>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</si>
  <si>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</si>
  <si>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</si>
  <si>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</si>
  <si>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</si>
  <si>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</si>
  <si>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</si>
  <si>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</si>
  <si>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</si>
  <si>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</si>
  <si>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</si>
  <si>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</si>
  <si>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</si>
  <si>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</si>
  <si>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</si>
  <si>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</si>
  <si>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</si>
  <si>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</si>
  <si>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</si>
  <si>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</si>
  <si>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</si>
  <si>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</si>
  <si>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</si>
  <si>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</si>
  <si>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</si>
  <si>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</si>
  <si>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</si>
  <si>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</si>
  <si>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</si>
  <si>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</si>
  <si>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</si>
  <si>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</si>
  <si>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</si>
  <si>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</si>
  <si>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</si>
  <si>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</si>
  <si>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</si>
  <si>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</si>
  <si>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</si>
  <si>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</si>
  <si>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</si>
  <si>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</si>
  <si>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</si>
  <si>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</si>
  <si>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</si>
  <si>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</si>
  <si>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</si>
  <si>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</si>
  <si>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</si>
  <si>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</si>
  <si>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</si>
  <si>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</si>
  <si>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</si>
  <si>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</si>
  <si>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</si>
  <si>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</si>
  <si>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</si>
  <si>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</si>
  <si>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</si>
  <si>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</si>
  <si>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</si>
  <si>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</si>
  <si>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</si>
  <si>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</si>
  <si>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</si>
  <si>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</si>
  <si>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</si>
  <si>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</si>
  <si>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</si>
  <si>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</si>
  <si>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</si>
  <si>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</si>
  <si>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</si>
  <si>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</si>
  <si>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</si>
  <si>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</si>
  <si>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</si>
  <si>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</si>
  <si>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</si>
  <si>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</si>
  <si>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</si>
  <si>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</si>
  <si>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</si>
  <si>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</si>
  <si>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</si>
  <si>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</si>
  <si>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</si>
  <si>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</si>
  <si>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</si>
  <si>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</si>
  <si>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</si>
  <si>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</si>
  <si>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</si>
  <si>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</si>
  <si>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</si>
  <si>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</si>
  <si>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</si>
  <si>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</si>
  <si>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</si>
  <si>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</si>
  <si>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</si>
  <si>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</si>
  <si>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</si>
  <si>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</si>
  <si>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</si>
  <si>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</si>
  <si>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</si>
  <si>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</si>
  <si>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</si>
  <si>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</si>
  <si>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</si>
  <si>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</si>
  <si>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</si>
  <si>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</si>
  <si>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</si>
  <si>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</si>
  <si>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</si>
  <si>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</si>
  <si>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</si>
  <si>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</si>
  <si>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</si>
  <si>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</si>
  <si>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</si>
  <si>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</si>
  <si>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</si>
  <si>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</si>
  <si>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</si>
  <si>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</si>
  <si>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</si>
  <si>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</si>
  <si>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</si>
  <si>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</si>
  <si>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</si>
  <si>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</si>
  <si>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</si>
  <si>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</si>
  <si>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</si>
  <si>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</si>
  <si>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</si>
  <si>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</si>
  <si>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</si>
  <si>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</si>
  <si>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</si>
  <si>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</si>
  <si>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</si>
  <si>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</si>
  <si>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</si>
  <si>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</si>
  <si>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</si>
  <si>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</si>
  <si>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</si>
  <si>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</si>
  <si>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</si>
  <si>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</si>
  <si>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</si>
  <si>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</si>
  <si>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</si>
  <si>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</si>
  <si>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</si>
  <si>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</si>
  <si>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</si>
  <si>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</si>
  <si>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</si>
  <si>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</si>
  <si>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</si>
  <si>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</si>
  <si>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</si>
  <si>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</si>
  <si>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</si>
  <si>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</si>
  <si>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</si>
  <si>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</si>
  <si>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</si>
  <si>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</si>
  <si>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</si>
  <si>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</si>
  <si>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</si>
  <si>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</si>
  <si>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</si>
  <si>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</si>
  <si>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</si>
  <si>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</si>
  <si>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</si>
  <si>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</si>
  <si>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</si>
  <si>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</si>
  <si>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</si>
  <si>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</si>
  <si>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</si>
  <si>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</si>
  <si>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</si>
  <si>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</si>
  <si>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</si>
  <si>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</si>
  <si>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</si>
  <si>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</si>
  <si>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</si>
  <si>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</si>
  <si>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</si>
  <si>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</si>
  <si>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</si>
  <si>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</si>
  <si>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</si>
  <si>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</si>
  <si>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</si>
  <si>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</si>
  <si>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</si>
  <si>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</si>
  <si>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</si>
  <si>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</si>
  <si>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</si>
  <si>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</si>
  <si>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</si>
  <si>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</si>
  <si>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</si>
  <si>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</si>
  <si>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</si>
  <si>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</si>
  <si>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</si>
  <si>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</si>
  <si>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</si>
  <si>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</si>
  <si>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</si>
  <si>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</si>
  <si>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</si>
  <si>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</si>
  <si>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</si>
  <si>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</si>
  <si>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</si>
  <si>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</si>
  <si>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</si>
  <si>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</si>
  <si>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</si>
  <si>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</si>
  <si>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</si>
  <si>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</si>
  <si>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</si>
  <si>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</si>
  <si>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</si>
  <si>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</si>
  <si>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</si>
  <si>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</si>
  <si>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</si>
  <si>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</si>
  <si>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</si>
  <si>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</si>
  <si>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</si>
  <si>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</si>
  <si>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</si>
  <si>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</si>
  <si>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</si>
  <si>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</si>
  <si>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</si>
  <si>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</si>
  <si>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</si>
  <si>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</si>
  <si>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</si>
  <si>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</si>
  <si>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</si>
  <si>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</si>
  <si>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</si>
  <si>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</si>
  <si>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</si>
  <si>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</si>
  <si>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</si>
  <si>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</si>
  <si>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</si>
  <si>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</si>
  <si>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</si>
  <si>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</si>
  <si>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</si>
  <si>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</si>
  <si>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</si>
  <si>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</si>
  <si>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</si>
  <si>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</si>
  <si>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</si>
  <si>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</si>
  <si>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</si>
  <si>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</si>
  <si>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</si>
  <si>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</si>
  <si>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</si>
  <si>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</si>
  <si>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</si>
  <si>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</si>
  <si>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</si>
  <si>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</si>
  <si>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</si>
  <si>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</si>
  <si>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</si>
  <si>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</si>
  <si>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</si>
  <si>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</si>
  <si>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</si>
  <si>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</si>
  <si>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</si>
  <si>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</si>
  <si>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</si>
  <si>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</si>
  <si>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</si>
  <si>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</si>
  <si>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</si>
  <si>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</si>
  <si>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</si>
  <si>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</si>
  <si>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</si>
  <si>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</si>
  <si>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</si>
  <si>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</si>
  <si>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</si>
  <si>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</si>
  <si>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</si>
  <si>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</si>
  <si>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</si>
  <si>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</si>
  <si>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</si>
  <si>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</si>
  <si>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</si>
  <si>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</si>
  <si>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</si>
  <si>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</si>
  <si>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</si>
  <si>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</si>
  <si>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</si>
  <si>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</si>
  <si>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</si>
  <si>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</si>
  <si>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</si>
  <si>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</si>
  <si>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</si>
  <si>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</si>
  <si>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</si>
  <si>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</si>
  <si>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</si>
  <si>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</si>
  <si>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</si>
  <si>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</si>
  <si>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</si>
  <si>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</si>
  <si>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</si>
  <si>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</si>
  <si>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</si>
  <si>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</si>
  <si>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</si>
  <si>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</si>
  <si>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</si>
  <si>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</si>
  <si>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</si>
  <si>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</si>
  <si>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</si>
  <si>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</si>
  <si>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</si>
  <si>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</si>
  <si>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</si>
  <si>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</si>
  <si>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</si>
  <si>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</si>
  <si>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</si>
  <si>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</si>
  <si>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</si>
  <si>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</si>
  <si>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</si>
  <si>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</si>
  <si>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</si>
  <si>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</si>
  <si>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</si>
  <si>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</si>
  <si>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</si>
  <si>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</si>
  <si>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</si>
  <si>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</si>
  <si>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</si>
  <si>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</si>
  <si>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</si>
  <si>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</si>
  <si>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</si>
  <si>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</si>
  <si>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</si>
  <si>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</si>
  <si>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</si>
  <si>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</si>
  <si>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</si>
  <si>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</si>
  <si>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</si>
  <si>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</si>
  <si>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</si>
  <si>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</si>
  <si>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</si>
  <si>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</si>
  <si>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</si>
  <si>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</si>
  <si>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</si>
  <si>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</si>
  <si>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</si>
  <si>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</si>
  <si>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</si>
  <si>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</si>
  <si>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</si>
  <si>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</si>
  <si>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</si>
  <si>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</si>
  <si>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</si>
  <si>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</si>
  <si>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</si>
  <si>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</si>
  <si>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</si>
  <si>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</si>
  <si>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</si>
  <si>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</si>
  <si>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</si>
  <si>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</si>
  <si>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</si>
  <si>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</si>
  <si>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</si>
  <si>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</si>
  <si>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</si>
  <si>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</si>
  <si>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</si>
  <si>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</si>
  <si>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</si>
  <si>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</si>
  <si>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</si>
  <si>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</si>
  <si>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</si>
  <si>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</si>
  <si>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</si>
  <si>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</si>
  <si>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</si>
  <si>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</si>
  <si>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</si>
  <si>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</si>
  <si>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</si>
  <si>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</si>
  <si>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</si>
  <si>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</si>
  <si>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</si>
  <si>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</si>
  <si>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</si>
  <si>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</si>
  <si>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</si>
  <si>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</si>
  <si>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</si>
  <si>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</si>
  <si>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</si>
  <si>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</si>
  <si>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</si>
  <si>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</si>
  <si>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</si>
  <si>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</si>
  <si>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</si>
  <si>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</si>
  <si>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</si>
  <si>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</si>
  <si>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</si>
  <si>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</si>
  <si>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</si>
  <si>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</si>
  <si>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</si>
  <si>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</si>
  <si>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</si>
  <si>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</si>
  <si>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</si>
  <si>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</si>
  <si>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</si>
  <si>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</si>
  <si>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</si>
  <si>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</si>
  <si>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</si>
  <si>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</si>
  <si>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</si>
  <si>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</si>
  <si>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</si>
  <si>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</si>
  <si>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</si>
  <si>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</si>
  <si>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</si>
  <si>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</si>
  <si>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</si>
  <si>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</si>
  <si>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</si>
  <si>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</si>
  <si>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</si>
  <si>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</si>
  <si>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</si>
  <si>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</si>
  <si>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</si>
  <si>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</si>
  <si>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</si>
  <si>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</si>
  <si>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</si>
  <si>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</si>
  <si>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</si>
  <si>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</si>
  <si>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</si>
  <si>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</si>
  <si>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</si>
  <si>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</si>
  <si>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</si>
  <si>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</si>
  <si>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</si>
  <si>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</si>
  <si>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</si>
  <si>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</si>
  <si>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</si>
  <si>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</si>
  <si>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</si>
  <si>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</si>
  <si>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</si>
  <si>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</si>
  <si>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</si>
  <si>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</si>
  <si>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</si>
  <si>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</si>
  <si>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</si>
  <si>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</si>
  <si>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</si>
  <si>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</si>
  <si>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</si>
  <si>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</si>
  <si>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</si>
  <si>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</si>
  <si>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</si>
  <si>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</si>
  <si>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</si>
  <si>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</si>
  <si>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</si>
  <si>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</si>
  <si>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</si>
  <si>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</si>
  <si>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</si>
  <si>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</si>
  <si>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</si>
  <si>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</si>
  <si>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</si>
  <si>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</si>
  <si>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</si>
  <si>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</si>
  <si>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</si>
  <si>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</si>
  <si>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</si>
  <si>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</si>
  <si>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</si>
  <si>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</si>
  <si>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</si>
  <si>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</si>
  <si>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</si>
  <si>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</si>
  <si>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</si>
  <si>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</si>
  <si>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</si>
  <si>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</si>
  <si>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</si>
  <si>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</si>
  <si>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</si>
  <si>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</si>
  <si>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</si>
  <si>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</si>
  <si>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</si>
  <si>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</si>
  <si>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</si>
  <si>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</si>
  <si>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</si>
  <si>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</si>
  <si>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</si>
  <si>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</si>
  <si>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</si>
  <si>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</si>
  <si>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</si>
  <si>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</si>
  <si>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</si>
  <si>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</si>
  <si>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</si>
  <si>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</si>
  <si>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</si>
  <si>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</si>
  <si>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</si>
  <si>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</si>
  <si>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</si>
  <si>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</si>
  <si>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</si>
  <si>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</si>
  <si>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</si>
  <si>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</si>
  <si>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</si>
  <si>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</si>
  <si>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</si>
  <si>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</si>
  <si>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</si>
  <si>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</si>
  <si>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</si>
  <si>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</si>
  <si>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</si>
  <si>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</si>
  <si>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</si>
  <si>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</si>
  <si>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</si>
  <si>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</si>
  <si>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</si>
  <si>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</si>
  <si>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</si>
  <si>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</si>
  <si>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</si>
  <si>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</si>
  <si>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</si>
  <si>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</si>
  <si>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</si>
  <si>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</si>
  <si>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</si>
  <si>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</si>
  <si>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</si>
  <si>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</si>
  <si>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</si>
  <si>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</si>
  <si>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</si>
  <si>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</si>
  <si>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</si>
  <si>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</si>
  <si>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</si>
  <si>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</si>
  <si>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</si>
  <si>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</si>
  <si>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</si>
  <si>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</si>
  <si>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</si>
  <si>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</si>
  <si>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</si>
  <si>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</si>
  <si>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</si>
  <si>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</si>
  <si>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</si>
  <si>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</si>
  <si>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</si>
  <si>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</si>
  <si>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</si>
  <si>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</si>
  <si>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</si>
  <si>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</si>
  <si>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</si>
  <si>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</si>
  <si>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</si>
  <si>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</si>
  <si>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</si>
  <si>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</si>
  <si>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</si>
  <si>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</si>
  <si>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</si>
  <si>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</si>
  <si>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</si>
  <si>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</si>
  <si>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</si>
  <si>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</si>
  <si>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</si>
  <si>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</si>
  <si>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</si>
  <si>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</si>
  <si>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</si>
  <si>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</si>
  <si>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</si>
  <si>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</si>
  <si>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</si>
  <si>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</si>
  <si>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</si>
  <si>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</si>
  <si>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</si>
  <si>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</si>
  <si>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</si>
  <si>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</si>
  <si>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</si>
  <si>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</si>
  <si>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</si>
  <si>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</si>
  <si>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</si>
  <si>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</si>
  <si>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</si>
  <si>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</si>
  <si>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</si>
  <si>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</si>
  <si>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</si>
  <si>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</si>
  <si>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</si>
  <si>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</si>
  <si>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</si>
  <si>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</si>
  <si>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</si>
  <si>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</si>
  <si>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</si>
  <si>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</si>
  <si>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</si>
  <si>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</si>
  <si>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</si>
  <si>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</si>
  <si>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</si>
  <si>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</si>
  <si>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</si>
  <si>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</si>
  <si>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</si>
  <si>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</si>
  <si>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</si>
  <si>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</si>
  <si>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</si>
  <si>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</si>
  <si>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</si>
  <si>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</si>
  <si>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</si>
  <si>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</si>
  <si>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</si>
  <si>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</si>
  <si>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</si>
  <si>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</si>
  <si>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</si>
  <si>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</si>
  <si>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</si>
  <si>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</si>
  <si>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</si>
  <si>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</si>
  <si>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</si>
  <si>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</si>
  <si>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</si>
  <si>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</si>
  <si>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</si>
  <si>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</si>
  <si>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</si>
  <si>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</si>
  <si>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</si>
  <si>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</si>
  <si>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</si>
  <si>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</si>
  <si>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</si>
  <si>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</si>
  <si>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</si>
  <si>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</si>
  <si>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</si>
  <si>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</si>
  <si>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</si>
  <si>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</si>
  <si>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</si>
  <si>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</si>
  <si>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</si>
  <si>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</si>
  <si>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</si>
  <si>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</si>
  <si>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</si>
  <si>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</si>
  <si>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</si>
  <si>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</si>
  <si>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</si>
  <si>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</si>
  <si>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</si>
  <si>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</si>
  <si>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</si>
  <si>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</si>
  <si>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</si>
  <si>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</si>
  <si>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</si>
  <si>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</si>
  <si>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</si>
  <si>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</si>
  <si>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</si>
  <si>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</si>
  <si>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</si>
  <si>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</si>
  <si>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</si>
  <si>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</si>
  <si>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</si>
  <si>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</si>
  <si>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</si>
  <si>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</si>
  <si>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</si>
  <si>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</si>
  <si>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</si>
  <si>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</si>
  <si>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</si>
  <si>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</si>
  <si>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</si>
  <si>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</si>
  <si>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</si>
  <si>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</si>
  <si>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</si>
  <si>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</si>
  <si>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</si>
  <si>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</si>
  <si>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</si>
  <si>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</si>
  <si>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</si>
  <si>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</si>
  <si>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</si>
  <si>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</si>
  <si>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</si>
  <si>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</si>
  <si>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</si>
  <si>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</si>
  <si>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</si>
  <si>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</si>
  <si>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</si>
  <si>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</si>
  <si>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</si>
  <si>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</si>
  <si>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</si>
  <si>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</si>
  <si>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</si>
  <si>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</si>
  <si>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</si>
  <si>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</si>
  <si>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</si>
  <si>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</si>
  <si>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</si>
  <si>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</si>
  <si>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</si>
  <si>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</si>
  <si>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</si>
  <si>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</si>
  <si>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</si>
  <si>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</si>
  <si>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</si>
  <si>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</si>
  <si>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</si>
  <si>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</si>
  <si>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</si>
  <si>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</si>
  <si>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</si>
  <si>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</si>
  <si>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</si>
  <si>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</si>
  <si>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</si>
  <si>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</si>
  <si>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</si>
  <si>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</si>
  <si>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</si>
  <si>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</si>
  <si>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</si>
  <si>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</si>
  <si>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</si>
  <si>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</si>
  <si>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</si>
  <si>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</si>
  <si>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</si>
  <si>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</si>
  <si>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</si>
  <si>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</si>
  <si>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</si>
  <si>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</si>
  <si>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</si>
  <si>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</si>
  <si>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</si>
  <si>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</si>
  <si>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</si>
  <si>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</si>
  <si>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</si>
  <si>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</si>
  <si>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</si>
  <si>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</si>
  <si>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</si>
  <si>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</si>
  <si>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</si>
  <si>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</si>
  <si>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</si>
  <si>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</si>
  <si>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</si>
  <si>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</si>
  <si>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</si>
  <si>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</si>
  <si>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</si>
  <si>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</si>
  <si>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</si>
  <si>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</si>
  <si>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</si>
  <si>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</si>
  <si>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</si>
  <si>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</si>
  <si>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</si>
  <si>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</si>
  <si>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</si>
  <si>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</si>
  <si>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</si>
  <si>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</si>
  <si>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</si>
  <si>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</si>
  <si>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</si>
  <si>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</si>
  <si>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</si>
  <si>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</si>
  <si>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</si>
  <si>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</si>
  <si>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</si>
  <si>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</si>
  <si>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</si>
  <si>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</si>
  <si>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</si>
  <si>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</si>
  <si>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</si>
  <si>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</si>
  <si>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</si>
  <si>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</si>
  <si>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</si>
  <si>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</si>
  <si>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</si>
  <si>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</si>
  <si>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</si>
  <si>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</si>
  <si>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</si>
  <si>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</si>
  <si>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</si>
  <si>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</si>
  <si>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</si>
  <si>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</si>
  <si>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</si>
  <si>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</si>
  <si>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</si>
  <si>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</si>
  <si>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</si>
  <si>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</si>
  <si>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</si>
  <si>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</si>
  <si>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</si>
  <si>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</si>
  <si>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</si>
  <si>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</si>
  <si>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</si>
  <si>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</si>
  <si>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</si>
  <si>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</si>
  <si>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</si>
  <si>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</si>
  <si>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</si>
  <si>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</si>
  <si>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</si>
  <si>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</si>
  <si>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</si>
  <si>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</si>
  <si>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</si>
  <si>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</si>
  <si>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</si>
  <si>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</si>
  <si>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</si>
  <si>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</si>
  <si>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</si>
  <si>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</si>
  <si>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</si>
  <si>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</si>
  <si>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</si>
  <si>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</si>
  <si>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</si>
  <si>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</si>
  <si>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</si>
  <si>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</si>
  <si>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</si>
  <si>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</si>
  <si>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</si>
  <si>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</si>
  <si>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</si>
  <si>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</si>
  <si>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</si>
  <si>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</si>
  <si>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</si>
  <si>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</si>
  <si>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</si>
  <si>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</si>
  <si>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</si>
  <si>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</si>
  <si>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</si>
  <si>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</si>
  <si>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</si>
  <si>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</si>
  <si>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</si>
  <si>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</si>
  <si>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</si>
  <si>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</si>
  <si>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</si>
  <si>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</si>
  <si>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</si>
  <si>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</si>
  <si>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</si>
  <si>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</si>
  <si>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</si>
  <si>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</si>
  <si>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</si>
  <si>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</si>
  <si>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</si>
  <si>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</si>
  <si>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</si>
  <si>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</si>
  <si>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</si>
  <si>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</si>
  <si>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</si>
  <si>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</si>
  <si>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</si>
  <si>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</si>
  <si>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</si>
  <si>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</si>
  <si>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</si>
  <si>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</si>
  <si>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</si>
  <si>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</si>
  <si>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</si>
  <si>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</si>
  <si>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</si>
  <si>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</si>
  <si>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</si>
  <si>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</si>
  <si>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</si>
  <si>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</si>
  <si>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</si>
  <si>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</si>
  <si>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</si>
  <si>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</si>
  <si>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</si>
  <si>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</si>
  <si>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</si>
  <si>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</si>
  <si>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</si>
  <si>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</si>
  <si>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</si>
  <si>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</si>
  <si>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</si>
  <si>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</si>
  <si>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</si>
  <si>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</si>
  <si>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</si>
  <si>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</si>
  <si>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</si>
  <si>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</si>
  <si>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</si>
  <si>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</si>
  <si>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</si>
  <si>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</si>
  <si>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</si>
  <si>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</si>
  <si>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</si>
  <si>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</si>
  <si>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</si>
  <si>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</si>
  <si>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</si>
  <si>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</si>
  <si>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</si>
  <si>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</si>
  <si>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</si>
  <si>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</si>
  <si>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</si>
  <si>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</si>
  <si>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</si>
  <si>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</si>
  <si>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</si>
  <si>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</si>
  <si>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</si>
  <si>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</si>
  <si>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</si>
  <si>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</si>
  <si>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</si>
  <si>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</si>
  <si>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</si>
  <si>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</si>
  <si>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</si>
  <si>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</si>
  <si>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</si>
  <si>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</si>
  <si>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</si>
  <si>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</si>
  <si>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</si>
  <si>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</si>
  <si>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</si>
  <si>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</si>
  <si>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</si>
  <si>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</si>
  <si>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</si>
  <si>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</si>
  <si>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</si>
  <si>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</si>
  <si>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</si>
  <si>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</si>
  <si>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</si>
  <si>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</si>
  <si>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</si>
  <si>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</si>
  <si>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</si>
  <si>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</si>
  <si>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</si>
  <si>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</si>
  <si>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</si>
  <si>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</si>
  <si>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</si>
  <si>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</si>
  <si>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</si>
  <si>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</si>
  <si>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</si>
  <si>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</si>
  <si>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</si>
  <si>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</si>
  <si>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</si>
  <si>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</si>
  <si>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</si>
  <si>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</si>
  <si>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</si>
  <si>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</si>
  <si>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</si>
  <si>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</si>
  <si>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</si>
  <si>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</si>
  <si>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</si>
  <si>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</si>
  <si>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</si>
  <si>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</si>
  <si>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</si>
  <si>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</si>
  <si>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</si>
  <si>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</si>
  <si>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</si>
  <si>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</si>
  <si>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</si>
  <si>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</si>
  <si>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</si>
  <si>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</si>
  <si>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</si>
  <si>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</si>
  <si>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</si>
  <si>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</si>
  <si>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</si>
  <si>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</si>
  <si>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</si>
  <si>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</si>
  <si>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</si>
  <si>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</si>
  <si>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</si>
  <si>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</si>
  <si>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</si>
  <si>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</si>
  <si>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</si>
  <si>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</si>
  <si>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</si>
  <si>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</si>
  <si>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</si>
  <si>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</si>
  <si>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</si>
  <si>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</si>
  <si>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</si>
  <si>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</si>
  <si>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</si>
  <si>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</si>
  <si>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</si>
  <si>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</si>
  <si>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</si>
  <si>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</si>
  <si>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</si>
  <si>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</si>
  <si>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</si>
  <si>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</si>
  <si>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</si>
  <si>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</si>
  <si>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</si>
  <si>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</si>
  <si>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</si>
  <si>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</si>
  <si>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</si>
  <si>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</si>
  <si>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</si>
  <si>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</si>
  <si>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</si>
  <si>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</si>
  <si>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</si>
  <si>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</si>
  <si>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</si>
  <si>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</si>
  <si>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</si>
  <si>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</si>
  <si>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</si>
  <si>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</si>
  <si>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</si>
  <si>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</si>
  <si>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</si>
  <si>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</si>
  <si>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</si>
  <si>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</si>
  <si>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</si>
  <si>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</si>
  <si>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</si>
  <si>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</si>
  <si>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</si>
  <si>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</si>
  <si>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</si>
  <si>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</si>
  <si>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</si>
  <si>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</si>
  <si>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</si>
  <si>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</si>
  <si>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</si>
  <si>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</si>
  <si>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</si>
  <si>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</si>
  <si>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</si>
  <si>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</si>
  <si>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</si>
  <si>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</si>
  <si>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</si>
  <si>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</si>
  <si>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</si>
  <si>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</si>
  <si>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</si>
  <si>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</si>
  <si>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</si>
  <si>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</si>
  <si>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</si>
  <si>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</si>
  <si>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</si>
  <si>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</si>
  <si>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</si>
  <si>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</si>
  <si>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</si>
  <si>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</si>
  <si>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</si>
  <si>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</si>
  <si>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</si>
  <si>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</si>
  <si>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</si>
  <si>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</si>
  <si>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</si>
  <si>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</si>
  <si>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</si>
  <si>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</si>
  <si>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</si>
  <si>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</si>
  <si>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</si>
  <si>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</si>
  <si>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</si>
  <si>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</si>
  <si>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</si>
  <si>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</si>
  <si>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</si>
  <si>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</si>
  <si>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</si>
  <si>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</si>
  <si>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</si>
  <si>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</si>
  <si>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</si>
  <si>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</si>
  <si>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</si>
  <si>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</si>
  <si>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</si>
  <si>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</si>
  <si>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</si>
  <si>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</si>
  <si>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</si>
  <si>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</si>
  <si>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</si>
  <si>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</si>
  <si>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</si>
  <si>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</si>
  <si>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</si>
  <si>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</si>
  <si>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</si>
  <si>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</si>
  <si>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</si>
  <si>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</si>
  <si>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</si>
  <si>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</si>
  <si>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</si>
  <si>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</si>
  <si>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</si>
  <si>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</si>
  <si>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</si>
  <si>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</si>
  <si>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</si>
  <si>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</si>
  <si>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</si>
  <si>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</si>
  <si>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</si>
  <si>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</si>
  <si>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</si>
  <si>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</si>
  <si>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</si>
  <si>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</si>
  <si>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</si>
  <si>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</si>
  <si>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</si>
  <si>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</si>
  <si>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</si>
  <si>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</si>
  <si>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</si>
  <si>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</si>
  <si>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</si>
  <si>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</si>
  <si>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</si>
  <si>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</si>
  <si>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</si>
  <si>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</si>
  <si>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</si>
  <si>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</si>
  <si>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</si>
  <si>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</si>
  <si>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</si>
  <si>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</si>
  <si>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</si>
  <si>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</si>
  <si>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</si>
  <si>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</si>
  <si>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</si>
  <si>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</si>
  <si>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</si>
  <si>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</si>
  <si>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</si>
  <si>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</si>
  <si>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</si>
  <si>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</si>
  <si>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</si>
  <si>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</si>
  <si>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</si>
  <si>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</si>
  <si>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</si>
  <si>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</si>
  <si>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</si>
  <si>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</si>
  <si>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</si>
  <si>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</si>
  <si>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</si>
  <si>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</si>
  <si>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</si>
  <si>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</si>
  <si>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</si>
  <si>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</si>
  <si>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</si>
  <si>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</si>
  <si>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</si>
  <si>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</si>
  <si>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</si>
  <si>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</si>
  <si>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</si>
  <si>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</si>
  <si>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</si>
  <si>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</si>
  <si>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</si>
  <si>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</si>
  <si>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</si>
  <si>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</si>
  <si>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</si>
  <si>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</si>
  <si>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</si>
  <si>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</si>
  <si>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</si>
  <si>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</si>
  <si>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</si>
  <si>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</si>
  <si>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</si>
  <si>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</si>
  <si>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</si>
  <si>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</si>
  <si>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</si>
  <si>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</si>
  <si>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</si>
  <si>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</si>
  <si>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</si>
  <si>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</si>
  <si>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</si>
  <si>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</si>
  <si>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</si>
  <si>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</si>
  <si>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</si>
  <si>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</si>
  <si>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</si>
  <si>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</si>
  <si>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</si>
  <si>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</si>
  <si>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</si>
  <si>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</si>
  <si>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</si>
  <si>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</si>
  <si>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</si>
  <si>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</si>
  <si>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</si>
  <si>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</si>
  <si>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</si>
  <si>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</si>
  <si>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</si>
  <si>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</si>
  <si>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</si>
  <si>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</si>
  <si>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</si>
  <si>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</si>
  <si>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</si>
  <si>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</si>
  <si>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</si>
  <si>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</si>
  <si>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</si>
  <si>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</si>
  <si>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</si>
  <si>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</si>
  <si>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</si>
  <si>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</si>
  <si>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</si>
  <si>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</si>
  <si>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</si>
  <si>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</si>
  <si>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</si>
  <si>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</si>
  <si>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</si>
  <si>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</si>
  <si>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</si>
  <si>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</si>
  <si>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</si>
  <si>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</si>
  <si>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</si>
  <si>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</si>
  <si>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</si>
  <si>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</si>
  <si>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</si>
  <si>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</si>
  <si>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</si>
  <si>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</si>
  <si>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</si>
  <si>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</si>
  <si>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</si>
  <si>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</si>
  <si>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</si>
  <si>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</si>
  <si>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</si>
  <si>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</si>
  <si>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</si>
  <si>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</si>
  <si>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</si>
  <si>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</si>
  <si>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</si>
  <si>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</si>
  <si>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</si>
  <si>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</si>
  <si>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</si>
  <si>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</si>
  <si>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</si>
  <si>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</si>
  <si>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</si>
  <si>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</si>
  <si>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</si>
  <si>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</si>
  <si>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</si>
  <si>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</si>
  <si>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</si>
  <si>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</si>
  <si>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</si>
  <si>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</si>
  <si>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</si>
  <si>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</si>
  <si>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</si>
  <si>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</si>
  <si>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</si>
  <si>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</si>
  <si>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</si>
  <si>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</si>
  <si>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</si>
  <si>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</si>
  <si>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</si>
  <si>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</si>
  <si>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</si>
  <si>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</si>
  <si>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</si>
  <si>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</si>
  <si>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</si>
  <si>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</si>
  <si>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</si>
  <si>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</si>
  <si>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</si>
  <si>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</si>
  <si>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</si>
  <si>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</si>
  <si>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</si>
  <si>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</si>
  <si>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</si>
  <si>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</si>
  <si>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</si>
  <si>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</si>
  <si>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</si>
  <si>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</si>
  <si>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</si>
  <si>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</si>
  <si>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</si>
  <si>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</si>
  <si>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</si>
  <si>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</si>
  <si>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</si>
  <si>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</si>
  <si>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</si>
  <si>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</si>
  <si>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</si>
  <si>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</si>
  <si>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</si>
  <si>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</si>
  <si>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</si>
  <si>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</si>
  <si>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</si>
  <si>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</si>
  <si>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</si>
  <si>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</si>
  <si>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</si>
  <si>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</si>
  <si>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</si>
  <si>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</si>
  <si>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</si>
  <si>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</si>
  <si>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</si>
  <si>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</si>
  <si>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</si>
  <si>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</si>
  <si>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</si>
  <si>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</si>
  <si>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</si>
  <si>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</si>
  <si>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</si>
  <si>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</si>
  <si>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</si>
  <si>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</si>
  <si>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</si>
  <si>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</si>
  <si>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</si>
  <si>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</si>
  <si>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</si>
  <si>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</si>
  <si>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</si>
  <si>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</si>
  <si>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</si>
  <si>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</si>
  <si>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</si>
  <si>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</si>
  <si>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</si>
  <si>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</si>
  <si>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</si>
  <si>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</si>
  <si>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</si>
  <si>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</si>
  <si>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</si>
  <si>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</si>
  <si>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</si>
  <si>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</si>
  <si>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</si>
  <si>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</si>
  <si>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</si>
  <si>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</si>
  <si>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</si>
  <si>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</si>
  <si>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</si>
  <si>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</si>
  <si>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</si>
  <si>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</si>
  <si>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</si>
  <si>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</si>
  <si>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</si>
  <si>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</si>
  <si>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</si>
  <si>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</si>
  <si>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</si>
  <si>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</si>
  <si>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</si>
  <si>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</si>
  <si>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</si>
  <si>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</si>
  <si>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</si>
  <si>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</si>
  <si>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</si>
  <si>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</si>
  <si>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</si>
  <si>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</si>
  <si>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</si>
  <si>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</si>
  <si>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</si>
  <si>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</si>
  <si>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</si>
  <si>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</si>
  <si>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</si>
  <si>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</si>
  <si>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</si>
  <si>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</si>
  <si>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</si>
  <si>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</si>
  <si>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</si>
  <si>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</si>
  <si>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</si>
  <si>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</si>
  <si>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</si>
  <si>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</si>
  <si>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</si>
  <si>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</si>
  <si>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</si>
  <si>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</si>
  <si>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</si>
  <si>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</si>
  <si>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</si>
  <si>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</si>
  <si>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</si>
  <si>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</si>
  <si>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</si>
  <si>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</si>
  <si>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</si>
  <si>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</si>
  <si>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</si>
  <si>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</si>
  <si>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</si>
  <si>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</si>
  <si>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</si>
  <si>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</si>
  <si>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</si>
  <si>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</si>
  <si>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</si>
  <si>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</si>
  <si>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</si>
  <si>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</si>
  <si>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</si>
  <si>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</si>
  <si>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</si>
  <si>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</si>
  <si>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</si>
  <si>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</si>
  <si>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</si>
  <si>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</si>
  <si>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</si>
  <si>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</si>
  <si>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</si>
  <si>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</si>
  <si>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</si>
  <si>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</si>
  <si>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</si>
  <si>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</si>
  <si>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</si>
  <si>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</si>
  <si>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</si>
  <si>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</si>
  <si>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</si>
  <si>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</si>
  <si>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</si>
  <si>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</si>
  <si>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</si>
  <si>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</si>
  <si>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</si>
  <si>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</si>
  <si>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</si>
  <si>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</si>
  <si>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</si>
  <si>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</si>
  <si>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</si>
  <si>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</si>
  <si>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</si>
  <si>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</si>
  <si>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</si>
  <si>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</si>
  <si>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</si>
  <si>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</si>
  <si>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</si>
  <si>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</si>
  <si>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</si>
  <si>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</si>
  <si>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</si>
  <si>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</si>
  <si>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</si>
  <si>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</si>
  <si>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</si>
  <si>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</si>
  <si>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</si>
  <si>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</si>
  <si>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</si>
  <si>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</si>
  <si>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</si>
  <si>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</si>
  <si>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</si>
  <si>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</si>
  <si>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</si>
  <si>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</si>
  <si>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</si>
  <si>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</si>
  <si>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</si>
  <si>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</si>
  <si>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</si>
  <si>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</si>
  <si>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</si>
  <si>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</si>
  <si>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</si>
  <si>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</si>
  <si>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</si>
  <si>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</si>
  <si>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</si>
  <si>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</si>
  <si>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</si>
  <si>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</si>
  <si>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</si>
  <si>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</si>
  <si>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</si>
  <si>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</si>
  <si>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</si>
  <si>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</si>
  <si>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</si>
  <si>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</si>
  <si>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</si>
  <si>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</si>
  <si>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</si>
  <si>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</si>
  <si>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</si>
  <si>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</si>
  <si>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</si>
  <si>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</si>
  <si>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</si>
  <si>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</si>
  <si>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</si>
  <si>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</si>
  <si>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</si>
  <si>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</si>
  <si>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</si>
  <si>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</si>
  <si>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</si>
  <si>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</si>
  <si>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</si>
  <si>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</si>
  <si>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</si>
  <si>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</si>
  <si>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</si>
  <si>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</si>
  <si>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</si>
  <si>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</si>
  <si>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</si>
  <si>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</si>
  <si>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</si>
  <si>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</si>
  <si>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</si>
  <si>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</si>
  <si>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</si>
  <si>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</si>
  <si>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</si>
  <si>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</si>
  <si>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</si>
  <si>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</si>
  <si>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</si>
  <si>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</si>
  <si>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</si>
  <si>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</si>
  <si>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</si>
  <si>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</si>
  <si>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</si>
  <si>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</si>
  <si>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</si>
  <si>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</si>
  <si>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</si>
  <si>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</si>
  <si>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</si>
  <si>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</si>
  <si>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</si>
  <si>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</si>
  <si>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</si>
  <si>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</si>
  <si>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</si>
  <si>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</si>
  <si>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</si>
  <si>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</si>
  <si>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</si>
  <si>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</si>
  <si>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</si>
  <si>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</si>
  <si>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</si>
  <si>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</si>
  <si>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</si>
  <si>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</si>
  <si>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</si>
  <si>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</si>
  <si>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</si>
  <si>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</si>
  <si>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</si>
  <si>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</si>
  <si>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</si>
  <si>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</si>
  <si>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</si>
  <si>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14001865632</t>
  </si>
  <si>
    <t>01092740</t>
  </si>
  <si>
    <t>070024586</t>
  </si>
  <si>
    <t>GRADSKO KOMUNALNO PODUZEĆE ČAKOM d.o.o.</t>
  </si>
  <si>
    <t>MIHOVLJAN</t>
  </si>
  <si>
    <t>MIHOVLJANSKA 10</t>
  </si>
  <si>
    <t>cakom@cakom.hr</t>
  </si>
  <si>
    <t>040/372400</t>
  </si>
  <si>
    <t>www.cakom.hr</t>
  </si>
  <si>
    <t>Maja Sakal</t>
  </si>
  <si>
    <t>040/372416</t>
  </si>
  <si>
    <t>maja.sakal@cakom.hr</t>
  </si>
  <si>
    <t>Perhoč Ivan</t>
  </si>
  <si>
    <t>76879095834</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</si>
</sst>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 fillId="0" borderId="30" xfId="0" applyFont="1" applyBorder="1" applyAlignment="1">
      <alignment/>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8" xfId="0" applyFont="1" applyFill="1" applyBorder="1" applyAlignment="1">
      <alignment horizontal="left" vertical="center"/>
    </xf>
    <xf numFmtId="0" fontId="46" fillId="45" borderId="78" xfId="0" applyFont="1" applyFill="1" applyBorder="1" applyAlignment="1">
      <alignment vertical="center"/>
    </xf>
    <xf numFmtId="0" fontId="1" fillId="0" borderId="78"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9" xfId="0" applyFont="1" applyBorder="1" applyAlignment="1">
      <alignment/>
    </xf>
    <xf numFmtId="0" fontId="1" fillId="0" borderId="15" xfId="0" applyFont="1" applyBorder="1" applyAlignment="1">
      <alignment horizontal="left"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603604.42</v>
      </c>
      <c r="I3" s="27">
        <f>ABS(ROUND(J3,0)-J3)+ABS(ROUND(K3,0)-K3)</f>
        <v>0</v>
      </c>
      <c r="J3" s="27">
        <f>Bilanca!I10</f>
        <v>10562757</v>
      </c>
      <c r="K3" s="27">
        <f>Bilanca!J10</f>
        <v>9808732</v>
      </c>
    </row>
    <row r="4" spans="1:11" ht="12.75">
      <c r="A4" s="4" t="s">
        <v>2697</v>
      </c>
      <c r="B4" s="25" t="s">
        <v>364</v>
      </c>
      <c r="D4" s="4" t="s">
        <v>554</v>
      </c>
      <c r="E4" s="4">
        <v>1</v>
      </c>
      <c r="F4" s="4">
        <f>Bilanca!G11</f>
        <v>3</v>
      </c>
      <c r="G4" s="4">
        <f>IF(Bilanca!H11=0,"",Bilanca!H11)</f>
      </c>
      <c r="H4" s="26">
        <f>J4/100*F4+2*K4/100*F4</f>
        <v>367.92</v>
      </c>
      <c r="I4" s="27">
        <f>ABS(ROUND(J4,0)-J4)+ABS(ROUND(K4,0)-K4)</f>
        <v>0</v>
      </c>
      <c r="J4" s="27">
        <f>Bilanca!I11</f>
        <v>6550</v>
      </c>
      <c r="K4" s="27">
        <f>Bilanca!J11</f>
        <v>2857</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01092740</v>
      </c>
      <c r="D6" s="4" t="s">
        <v>554</v>
      </c>
      <c r="E6" s="4">
        <v>1</v>
      </c>
      <c r="F6" s="4">
        <f>Bilanca!G13</f>
        <v>5</v>
      </c>
      <c r="G6" s="4">
        <f>IF(Bilanca!H13=0,"",Bilanca!H13)</f>
      </c>
      <c r="H6" s="26">
        <f aca="true" t="shared" si="0" ref="H6:H45">J6/100*F6+2*K6/100*F6</f>
        <v>613.2</v>
      </c>
      <c r="I6" s="27">
        <f aca="true" t="shared" si="1" ref="I6:I45">ABS(ROUND(J6,0)-J6)+ABS(ROUND(K6,0)-K6)</f>
        <v>0</v>
      </c>
      <c r="J6" s="27">
        <f>Bilanca!I13</f>
        <v>6550</v>
      </c>
      <c r="K6" s="27">
        <f>Bilanca!J13</f>
        <v>2857</v>
      </c>
    </row>
    <row r="7" spans="1:11" ht="12.75">
      <c r="A7" s="4" t="s">
        <v>1561</v>
      </c>
      <c r="B7" s="25" t="str">
        <f>RefStr!M27</f>
        <v>070024586</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14001865632</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GRADSKO KOMUNALNO PODUZEĆE ČAKOM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40000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MIHOVLJAN</v>
      </c>
      <c r="D11" s="4" t="s">
        <v>554</v>
      </c>
      <c r="E11" s="4">
        <v>1</v>
      </c>
      <c r="F11" s="4">
        <f>Bilanca!G18</f>
        <v>10</v>
      </c>
      <c r="G11" s="4">
        <f>IF(Bilanca!H18=0,"",Bilanca!H18)</f>
      </c>
      <c r="H11" s="26">
        <f t="shared" si="0"/>
        <v>3007232.5999999996</v>
      </c>
      <c r="I11" s="27">
        <f t="shared" si="1"/>
        <v>0</v>
      </c>
      <c r="J11" s="27">
        <f>Bilanca!I18</f>
        <v>10518414</v>
      </c>
      <c r="K11" s="27">
        <f>Bilanca!J18</f>
        <v>9776956</v>
      </c>
    </row>
    <row r="12" spans="1:11" ht="12.75">
      <c r="A12" s="4" t="s">
        <v>2738</v>
      </c>
      <c r="B12" s="25" t="str">
        <f>TRIM(RefStr!C33)</f>
        <v>MIHOVLJANSKA 10</v>
      </c>
      <c r="D12" s="4" t="s">
        <v>554</v>
      </c>
      <c r="E12" s="4">
        <v>1</v>
      </c>
      <c r="F12" s="4">
        <f>Bilanca!G19</f>
        <v>11</v>
      </c>
      <c r="G12" s="4">
        <f>IF(Bilanca!H19=0,"",Bilanca!H19)</f>
      </c>
      <c r="H12" s="26">
        <f t="shared" si="0"/>
        <v>387047.10000000003</v>
      </c>
      <c r="I12" s="27">
        <f t="shared" si="1"/>
        <v>0</v>
      </c>
      <c r="J12" s="27">
        <f>Bilanca!I19</f>
        <v>1172870</v>
      </c>
      <c r="K12" s="27">
        <f>Bilanca!J19</f>
        <v>1172870</v>
      </c>
    </row>
    <row r="13" spans="1:11" ht="12.75">
      <c r="A13" s="4" t="s">
        <v>2884</v>
      </c>
      <c r="B13" s="25" t="str">
        <f>TRIM(RefStr!C35)</f>
        <v>cakom@cakom.hr</v>
      </c>
      <c r="D13" s="4" t="s">
        <v>554</v>
      </c>
      <c r="E13" s="4">
        <v>1</v>
      </c>
      <c r="F13" s="4">
        <f>Bilanca!G20</f>
        <v>12</v>
      </c>
      <c r="G13" s="4">
        <f>IF(Bilanca!H20=0,"",Bilanca!H20)</f>
      </c>
      <c r="H13" s="26">
        <f t="shared" si="0"/>
        <v>1349361</v>
      </c>
      <c r="I13" s="27">
        <f t="shared" si="1"/>
        <v>0</v>
      </c>
      <c r="J13" s="27">
        <f>Bilanca!I20</f>
        <v>2958457</v>
      </c>
      <c r="K13" s="27">
        <f>Bilanca!J20</f>
        <v>4143109</v>
      </c>
    </row>
    <row r="14" spans="1:11" ht="12.75">
      <c r="A14" s="4" t="s">
        <v>2885</v>
      </c>
      <c r="B14" s="25" t="str">
        <f>TRIM(RefStr!C37)</f>
        <v>www.cakom.hr</v>
      </c>
      <c r="D14" s="4" t="s">
        <v>554</v>
      </c>
      <c r="E14" s="4">
        <v>1</v>
      </c>
      <c r="F14" s="4">
        <f>Bilanca!G21</f>
        <v>13</v>
      </c>
      <c r="G14" s="4">
        <f>IF(Bilanca!H21=0,"",Bilanca!H21)</f>
      </c>
      <c r="H14" s="26">
        <f t="shared" si="0"/>
        <v>324704.38</v>
      </c>
      <c r="I14" s="27">
        <f t="shared" si="1"/>
        <v>0</v>
      </c>
      <c r="J14" s="27">
        <f>Bilanca!I21</f>
        <v>881388</v>
      </c>
      <c r="K14" s="27">
        <f>Bilanca!J21</f>
        <v>808169</v>
      </c>
    </row>
    <row r="15" spans="1:11" ht="12.75">
      <c r="A15" s="4" t="s">
        <v>2741</v>
      </c>
      <c r="B15" s="25" t="str">
        <f>TEXT(RefStr!J39,"00")</f>
        <v>20</v>
      </c>
      <c r="D15" s="4" t="s">
        <v>554</v>
      </c>
      <c r="E15" s="4">
        <v>1</v>
      </c>
      <c r="F15" s="4">
        <f>Bilanca!G22</f>
        <v>14</v>
      </c>
      <c r="G15" s="4">
        <f>IF(Bilanca!H22=0,"",Bilanca!H22)</f>
      </c>
      <c r="H15" s="26">
        <f t="shared" si="0"/>
        <v>1572941.2999999998</v>
      </c>
      <c r="I15" s="27">
        <f t="shared" si="1"/>
        <v>0</v>
      </c>
      <c r="J15" s="27">
        <f>Bilanca!I22</f>
        <v>4127295</v>
      </c>
      <c r="K15" s="27">
        <f>Bilanca!J22</f>
        <v>3554000</v>
      </c>
    </row>
    <row r="16" spans="1:11" ht="12.75">
      <c r="A16" s="4" t="s">
        <v>2740</v>
      </c>
      <c r="B16" s="25" t="str">
        <f>TEXT(RefStr!C39,"000")</f>
        <v>060</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216043.14</v>
      </c>
      <c r="I18" s="27">
        <f t="shared" si="1"/>
        <v>0</v>
      </c>
      <c r="J18" s="27">
        <f>Bilanca!I25</f>
        <v>1270842</v>
      </c>
      <c r="K18" s="27">
        <f>Bilanca!J25</f>
        <v>0</v>
      </c>
    </row>
    <row r="19" spans="1:11" ht="12.75">
      <c r="A19" s="4" t="s">
        <v>2887</v>
      </c>
      <c r="B19" s="25" t="str">
        <f>IF(RefStr!I21&lt;&gt;"",RefStr!I21,"")</f>
        <v>DA</v>
      </c>
      <c r="D19" s="4" t="s">
        <v>554</v>
      </c>
      <c r="E19" s="4">
        <v>1</v>
      </c>
      <c r="F19" s="4">
        <f>Bilanca!G26</f>
        <v>18</v>
      </c>
      <c r="G19" s="4">
        <f>IF(Bilanca!H26=0,"",Bilanca!H26)</f>
      </c>
      <c r="H19" s="26">
        <f t="shared" si="0"/>
        <v>13302</v>
      </c>
      <c r="I19" s="27">
        <f t="shared" si="1"/>
        <v>0</v>
      </c>
      <c r="J19" s="27">
        <f>Bilanca!I26</f>
        <v>18900</v>
      </c>
      <c r="K19" s="27">
        <f>Bilanca!J26</f>
        <v>27500</v>
      </c>
    </row>
    <row r="20" spans="1:11" ht="12.75">
      <c r="A20" s="4" t="s">
        <v>2888</v>
      </c>
      <c r="B20" s="25">
        <f>RefStr!C19</f>
        <v>2</v>
      </c>
      <c r="D20" s="4" t="s">
        <v>554</v>
      </c>
      <c r="E20" s="4">
        <v>1</v>
      </c>
      <c r="F20" s="4">
        <f>Bilanca!G27</f>
        <v>19</v>
      </c>
      <c r="G20" s="4">
        <f>IF(Bilanca!H27=0,"",Bilanca!H27)</f>
      </c>
      <c r="H20" s="26">
        <f t="shared" si="0"/>
        <v>43942.82</v>
      </c>
      <c r="I20" s="27">
        <f t="shared" si="1"/>
        <v>0</v>
      </c>
      <c r="J20" s="27">
        <f>Bilanca!I27</f>
        <v>88662</v>
      </c>
      <c r="K20" s="27">
        <f>Bilanca!J27</f>
        <v>71308</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171</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170</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139</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136</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29645.61</v>
      </c>
      <c r="I32" s="27">
        <f t="shared" si="1"/>
        <v>0</v>
      </c>
      <c r="J32" s="27">
        <f>Bilanca!I39</f>
        <v>37793</v>
      </c>
      <c r="K32" s="27">
        <f>Bilanca!J39</f>
        <v>28919</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33470.85</v>
      </c>
      <c r="I36" s="27">
        <f t="shared" si="1"/>
        <v>0</v>
      </c>
      <c r="J36" s="27">
        <f>Bilanca!I43</f>
        <v>37793</v>
      </c>
      <c r="K36" s="27">
        <f>Bilanca!J43</f>
        <v>28919</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13498522.780000001</v>
      </c>
      <c r="I38" s="27">
        <f t="shared" si="1"/>
        <v>0</v>
      </c>
      <c r="J38" s="27">
        <f>Bilanca!I45</f>
        <v>12450306</v>
      </c>
      <c r="K38" s="27">
        <f>Bilanca!J45</f>
        <v>12016094</v>
      </c>
    </row>
    <row r="39" spans="1:11" ht="12.75">
      <c r="A39" s="4" t="s">
        <v>1611</v>
      </c>
      <c r="B39" s="25" t="str">
        <f>RefStr!C68</f>
        <v>Maja Sakal</v>
      </c>
      <c r="D39" s="4" t="s">
        <v>554</v>
      </c>
      <c r="E39" s="4">
        <v>1</v>
      </c>
      <c r="F39" s="4">
        <f>Bilanca!G46</f>
        <v>38</v>
      </c>
      <c r="G39" s="4">
        <f>IF(Bilanca!H46=0,"",Bilanca!H46)</f>
      </c>
      <c r="H39" s="26">
        <f t="shared" si="0"/>
        <v>1389746.6400000001</v>
      </c>
      <c r="I39" s="27">
        <f t="shared" si="1"/>
        <v>0</v>
      </c>
      <c r="J39" s="27">
        <f>Bilanca!I46</f>
        <v>1254322</v>
      </c>
      <c r="K39" s="27">
        <f>Bilanca!J46</f>
        <v>1201453</v>
      </c>
    </row>
    <row r="40" spans="1:11" ht="12.75">
      <c r="A40" s="4" t="s">
        <v>1612</v>
      </c>
      <c r="B40" s="25" t="str">
        <f>TRIM(RefStr!C70)</f>
        <v>040/372416</v>
      </c>
      <c r="D40" s="4" t="s">
        <v>554</v>
      </c>
      <c r="E40" s="4">
        <v>1</v>
      </c>
      <c r="F40" s="4">
        <f>Bilanca!G47</f>
        <v>39</v>
      </c>
      <c r="G40" s="4">
        <f>IF(Bilanca!H47=0,"",Bilanca!H47)</f>
      </c>
      <c r="H40" s="26">
        <f t="shared" si="0"/>
        <v>1056575.9100000001</v>
      </c>
      <c r="I40" s="27">
        <f t="shared" si="1"/>
        <v>0</v>
      </c>
      <c r="J40" s="27">
        <f>Bilanca!I47</f>
        <v>1000295</v>
      </c>
      <c r="K40" s="27">
        <f>Bilanca!J47</f>
        <v>854437</v>
      </c>
    </row>
    <row r="41" spans="1:11" ht="12.75">
      <c r="A41" s="4" t="s">
        <v>1613</v>
      </c>
      <c r="B41" s="25" t="s">
        <v>72</v>
      </c>
      <c r="D41" s="4" t="s">
        <v>554</v>
      </c>
      <c r="E41" s="4">
        <v>1</v>
      </c>
      <c r="F41" s="4">
        <f>Bilanca!G48</f>
        <v>40</v>
      </c>
      <c r="G41" s="4">
        <f>IF(Bilanca!H48=0,"",Bilanca!H48)</f>
      </c>
      <c r="H41" s="26">
        <f t="shared" si="0"/>
        <v>169668.4</v>
      </c>
      <c r="I41" s="27">
        <f t="shared" si="1"/>
        <v>0</v>
      </c>
      <c r="J41" s="27">
        <f>Bilanca!I48</f>
        <v>61677</v>
      </c>
      <c r="K41" s="27">
        <f>Bilanca!J48</f>
        <v>181247</v>
      </c>
    </row>
    <row r="42" spans="1:11" ht="12.75">
      <c r="A42" s="4" t="s">
        <v>1300</v>
      </c>
      <c r="B42" s="25" t="str">
        <f>TRIM(RefStr!C72)</f>
        <v>maja.sakal@cakom.hr</v>
      </c>
      <c r="D42" s="4" t="s">
        <v>554</v>
      </c>
      <c r="E42" s="4">
        <v>1</v>
      </c>
      <c r="F42" s="4">
        <f>Bilanca!G49</f>
        <v>41</v>
      </c>
      <c r="G42" s="4">
        <f>IF(Bilanca!H49=0,"",Bilanca!H49)</f>
      </c>
      <c r="H42" s="26">
        <f t="shared" si="0"/>
        <v>15676.349999999999</v>
      </c>
      <c r="I42" s="27">
        <f t="shared" si="1"/>
        <v>0</v>
      </c>
      <c r="J42" s="27">
        <f>Bilanca!I49</f>
        <v>12745</v>
      </c>
      <c r="K42" s="27">
        <f>Bilanca!J49</f>
        <v>12745</v>
      </c>
    </row>
    <row r="43" spans="1:11" ht="12.75">
      <c r="A43" s="4" t="s">
        <v>1299</v>
      </c>
      <c r="B43" s="25" t="str">
        <f>TRIM(RefStr!A75)</f>
        <v>Perhoč Ivan</v>
      </c>
      <c r="D43" s="4" t="s">
        <v>554</v>
      </c>
      <c r="E43" s="4">
        <v>1</v>
      </c>
      <c r="F43" s="4">
        <f>Bilanca!G50</f>
        <v>42</v>
      </c>
      <c r="G43" s="4">
        <f>IF(Bilanca!H50=0,"",Bilanca!H50)</f>
      </c>
      <c r="H43" s="26">
        <f t="shared" si="0"/>
        <v>196629.72</v>
      </c>
      <c r="I43" s="27">
        <f t="shared" si="1"/>
        <v>0</v>
      </c>
      <c r="J43" s="27">
        <f>Bilanca!I50</f>
        <v>175986</v>
      </c>
      <c r="K43" s="27">
        <f>Bilanca!J50</f>
        <v>146090</v>
      </c>
    </row>
    <row r="44" spans="1:11" ht="12.75">
      <c r="A44" s="4" t="s">
        <v>2610</v>
      </c>
      <c r="B44" s="25" t="str">
        <f>IF(RefStr!C4&lt;&gt;"",TEXT(RefStr!C4,"YYYYMMDD"),"")</f>
        <v>20210101</v>
      </c>
      <c r="D44" s="4" t="s">
        <v>554</v>
      </c>
      <c r="E44" s="4">
        <v>1</v>
      </c>
      <c r="F44" s="4">
        <f>Bilanca!G51</f>
        <v>43</v>
      </c>
      <c r="G44" s="4">
        <f>IF(Bilanca!H51=0,"",Bilanca!H51)</f>
      </c>
      <c r="H44" s="26">
        <f t="shared" si="0"/>
        <v>7519.410000000001</v>
      </c>
      <c r="I44" s="27">
        <f t="shared" si="1"/>
        <v>0</v>
      </c>
      <c r="J44" s="27">
        <f>Bilanca!I51</f>
        <v>3619</v>
      </c>
      <c r="K44" s="27">
        <f>Bilanca!J51</f>
        <v>6934</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11222854.600000001</v>
      </c>
      <c r="I47" s="27">
        <f t="shared" si="3"/>
        <v>0</v>
      </c>
      <c r="J47" s="27">
        <f>Bilanca!I54</f>
        <v>8428934</v>
      </c>
      <c r="K47" s="27">
        <f>Bilanca!J54</f>
        <v>7984288</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11676547.120000001</v>
      </c>
      <c r="I50" s="27">
        <f t="shared" si="3"/>
        <v>0</v>
      </c>
      <c r="J50" s="27">
        <f>Bilanca!I57</f>
        <v>8085140</v>
      </c>
      <c r="K50" s="27">
        <f>Bilanca!J57</f>
        <v>7872274</v>
      </c>
    </row>
    <row r="51" spans="1:11" ht="12.75">
      <c r="A51" s="4" t="s">
        <v>1035</v>
      </c>
      <c r="B51" s="25" t="str">
        <f>RefStr!I60</f>
        <v>NE</v>
      </c>
      <c r="D51" s="4" t="s">
        <v>554</v>
      </c>
      <c r="E51" s="4">
        <v>1</v>
      </c>
      <c r="F51" s="4">
        <f>Bilanca!G58</f>
        <v>50</v>
      </c>
      <c r="G51" s="4">
        <f>IF(Bilanca!H58=0,"",Bilanca!H58)</f>
      </c>
      <c r="H51" s="26">
        <f t="shared" si="2"/>
        <v>3986.5</v>
      </c>
      <c r="I51" s="27">
        <f t="shared" si="3"/>
        <v>0</v>
      </c>
      <c r="J51" s="27">
        <f>Bilanca!I58</f>
        <v>2861</v>
      </c>
      <c r="K51" s="27">
        <f>Bilanca!J58</f>
        <v>2556</v>
      </c>
    </row>
    <row r="52" spans="1:11" ht="12.75">
      <c r="A52" s="4" t="s">
        <v>1614</v>
      </c>
      <c r="B52" s="25" t="s">
        <v>1237</v>
      </c>
      <c r="D52" s="4" t="s">
        <v>554</v>
      </c>
      <c r="E52" s="4">
        <v>1</v>
      </c>
      <c r="F52" s="4">
        <f>Bilanca!G59</f>
        <v>51</v>
      </c>
      <c r="G52" s="4">
        <f>IF(Bilanca!H59=0,"",Bilanca!H59)</f>
      </c>
      <c r="H52" s="26">
        <f t="shared" si="2"/>
        <v>257045.10000000003</v>
      </c>
      <c r="I52" s="27">
        <f t="shared" si="3"/>
        <v>0</v>
      </c>
      <c r="J52" s="27">
        <f>Bilanca!I59</f>
        <v>304730</v>
      </c>
      <c r="K52" s="27">
        <f>Bilanca!J59</f>
        <v>99640</v>
      </c>
    </row>
    <row r="53" spans="1:11" ht="12.75">
      <c r="A53" s="4" t="s">
        <v>1301</v>
      </c>
      <c r="B53" s="25" t="str">
        <f>RefStr!I56</f>
        <v>DA</v>
      </c>
      <c r="D53" s="4" t="s">
        <v>554</v>
      </c>
      <c r="E53" s="4">
        <v>1</v>
      </c>
      <c r="F53" s="4">
        <f>Bilanca!G60</f>
        <v>52</v>
      </c>
      <c r="G53" s="4">
        <f>IF(Bilanca!H60=0,"",Bilanca!H60)</f>
      </c>
      <c r="H53" s="26">
        <f t="shared" si="2"/>
        <v>29036.28</v>
      </c>
      <c r="I53" s="27">
        <f t="shared" si="3"/>
        <v>0</v>
      </c>
      <c r="J53" s="27">
        <f>Bilanca!I60</f>
        <v>36203</v>
      </c>
      <c r="K53" s="27">
        <f>Bilanca!J60</f>
        <v>9818</v>
      </c>
    </row>
    <row r="54" spans="1:11" ht="12.75">
      <c r="A54" s="4" t="s">
        <v>1302</v>
      </c>
      <c r="B54" s="25" t="str">
        <f>RefStr!I62</f>
        <v>DA</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2659713136.9199996</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76879095834</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5309486.279999999</v>
      </c>
      <c r="I64" s="27">
        <f t="shared" si="3"/>
        <v>0</v>
      </c>
      <c r="J64" s="27">
        <f>Bilanca!I71</f>
        <v>2767050</v>
      </c>
      <c r="K64" s="27">
        <f>Bilanca!J71</f>
        <v>2830353</v>
      </c>
    </row>
    <row r="65" spans="1:11" ht="12.75">
      <c r="A65" s="4" t="s">
        <v>923</v>
      </c>
      <c r="B65" s="25" t="str">
        <f>TRIM(RefStr!N19)</f>
        <v>HSFI</v>
      </c>
      <c r="D65" s="4" t="s">
        <v>554</v>
      </c>
      <c r="E65" s="4">
        <v>1</v>
      </c>
      <c r="F65" s="4">
        <f>Bilanca!G72</f>
        <v>64</v>
      </c>
      <c r="G65" s="4">
        <f>IF(Bilanca!H72=0,"",Bilanca!H72)</f>
      </c>
      <c r="H65" s="26">
        <f t="shared" si="2"/>
        <v>689677.44</v>
      </c>
      <c r="I65" s="27">
        <f t="shared" si="3"/>
        <v>0</v>
      </c>
      <c r="J65" s="27">
        <f>Bilanca!I72</f>
        <v>437409</v>
      </c>
      <c r="K65" s="27">
        <f>Bilanca!J72</f>
        <v>320106</v>
      </c>
    </row>
    <row r="66" spans="1:11" ht="12.75">
      <c r="A66" s="4" t="s">
        <v>924</v>
      </c>
      <c r="B66" s="25">
        <f>RefStr!C23</f>
        <v>1</v>
      </c>
      <c r="D66" s="4" t="s">
        <v>554</v>
      </c>
      <c r="E66" s="4">
        <v>1</v>
      </c>
      <c r="F66" s="4">
        <f>Bilanca!G73</f>
        <v>65</v>
      </c>
      <c r="G66" s="4">
        <f>IF(Bilanca!H73=0,"",Bilanca!H73)</f>
      </c>
      <c r="H66" s="26">
        <f t="shared" si="2"/>
        <v>44031218.400000006</v>
      </c>
      <c r="I66" s="27">
        <f t="shared" si="3"/>
        <v>0</v>
      </c>
      <c r="J66" s="27">
        <f>Bilanca!I73</f>
        <v>23450472</v>
      </c>
      <c r="K66" s="27">
        <f>Bilanca!J73</f>
        <v>22144932</v>
      </c>
    </row>
    <row r="67" spans="1:11" ht="12.75">
      <c r="A67" s="4" t="s">
        <v>925</v>
      </c>
      <c r="B67" s="25" t="str">
        <f>TRIM(RefStr!L35)</f>
        <v>040/372400</v>
      </c>
      <c r="D67" s="4" t="s">
        <v>554</v>
      </c>
      <c r="E67" s="4">
        <v>1</v>
      </c>
      <c r="F67" s="4">
        <f>Bilanca!G74</f>
        <v>66</v>
      </c>
      <c r="G67" s="4">
        <f>IF(Bilanca!H74=0,"",Bilanca!H74)</f>
      </c>
      <c r="H67" s="26">
        <f t="shared" si="2"/>
        <v>104298493.2</v>
      </c>
      <c r="I67" s="27">
        <f t="shared" si="3"/>
        <v>0</v>
      </c>
      <c r="J67" s="27">
        <f>Bilanca!I74</f>
        <v>50728560</v>
      </c>
      <c r="K67" s="27">
        <f>Bilanca!J74</f>
        <v>53649730</v>
      </c>
    </row>
    <row r="68" spans="1:11" ht="12.75">
      <c r="A68" s="4" t="s">
        <v>926</v>
      </c>
      <c r="B68" s="25">
        <f>RefStr!C44</f>
        <v>1</v>
      </c>
      <c r="D68" s="4" t="s">
        <v>554</v>
      </c>
      <c r="E68" s="4">
        <v>1</v>
      </c>
      <c r="F68" s="4">
        <f>Bilanca!G76</f>
        <v>67</v>
      </c>
      <c r="G68" s="4">
        <f>IF(Bilanca!H76=0,"",Bilanca!H76)</f>
      </c>
      <c r="H68" s="26">
        <f t="shared" si="2"/>
        <v>17737973.959999997</v>
      </c>
      <c r="I68" s="27">
        <f t="shared" si="3"/>
        <v>0</v>
      </c>
      <c r="J68" s="27">
        <f>Bilanca!I76</f>
        <v>8611720</v>
      </c>
      <c r="K68" s="27">
        <f>Bilanca!J76</f>
        <v>8931434</v>
      </c>
    </row>
    <row r="69" spans="1:11" ht="12.75">
      <c r="A69" s="4" t="s">
        <v>927</v>
      </c>
      <c r="B69" s="25">
        <f>TRIM(RefStr!M46)</f>
      </c>
      <c r="D69" s="4" t="s">
        <v>554</v>
      </c>
      <c r="E69" s="4">
        <v>1</v>
      </c>
      <c r="F69" s="4">
        <f>Bilanca!G77</f>
        <v>68</v>
      </c>
      <c r="G69" s="4">
        <f>IF(Bilanca!H77=0,"",Bilanca!H77)</f>
      </c>
      <c r="H69" s="26">
        <f t="shared" si="2"/>
        <v>10144920</v>
      </c>
      <c r="I69" s="27">
        <f t="shared" si="3"/>
        <v>0</v>
      </c>
      <c r="J69" s="27">
        <f>Bilanca!I77</f>
        <v>4973000</v>
      </c>
      <c r="K69" s="27">
        <f>Bilanca!J77</f>
        <v>4973000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3343422.5999999996</v>
      </c>
      <c r="I71" s="27">
        <f t="shared" si="3"/>
        <v>0</v>
      </c>
      <c r="J71" s="27">
        <f>Bilanca!I79</f>
        <v>1592106</v>
      </c>
      <c r="K71" s="27">
        <f>Bilanca!J79</f>
        <v>1592106</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3582238.5</v>
      </c>
      <c r="I76" s="27">
        <f t="shared" si="3"/>
        <v>0</v>
      </c>
      <c r="J76" s="27">
        <f>Bilanca!I84</f>
        <v>1592106</v>
      </c>
      <c r="K76" s="27">
        <f>Bilanca!J84</f>
        <v>1592106</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4783658.52</v>
      </c>
      <c r="I84" s="27">
        <f t="shared" si="3"/>
        <v>0</v>
      </c>
      <c r="J84" s="27">
        <f>Bilanca!I92</f>
        <v>1670218</v>
      </c>
      <c r="K84" s="27">
        <f>Bilanca!J92</f>
        <v>2046613</v>
      </c>
    </row>
    <row r="85" spans="4:11" ht="12.75">
      <c r="D85" s="4" t="s">
        <v>554</v>
      </c>
      <c r="E85" s="4">
        <v>1</v>
      </c>
      <c r="F85" s="4">
        <f>Bilanca!G93</f>
        <v>84</v>
      </c>
      <c r="G85" s="4">
        <f>IF(Bilanca!H93=0,"",Bilanca!H93)</f>
      </c>
      <c r="H85" s="26">
        <f t="shared" si="2"/>
        <v>4841292.960000001</v>
      </c>
      <c r="I85" s="27">
        <f t="shared" si="3"/>
        <v>0</v>
      </c>
      <c r="J85" s="27">
        <f>Bilanca!I93</f>
        <v>1670218</v>
      </c>
      <c r="K85" s="27">
        <f>Bilanca!J93</f>
        <v>2046613</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873610.3600000001</v>
      </c>
      <c r="I87" s="27">
        <f>ABS(ROUND(J87,0)-J87)+ABS(ROUND(K87,0)-K87)</f>
        <v>0</v>
      </c>
      <c r="J87" s="27">
        <f>Bilanca!I95</f>
        <v>376396</v>
      </c>
      <c r="K87" s="27">
        <f>Bilanca!J95</f>
        <v>319715</v>
      </c>
    </row>
    <row r="88" spans="4:11" ht="12.75">
      <c r="D88" s="4" t="s">
        <v>554</v>
      </c>
      <c r="E88" s="4">
        <v>1</v>
      </c>
      <c r="F88" s="4">
        <f>Bilanca!G96</f>
        <v>87</v>
      </c>
      <c r="G88" s="4">
        <f>IF(Bilanca!H96=0,"",Bilanca!H96)</f>
      </c>
      <c r="H88" s="26">
        <f>J88/100*F88+2*K88/100*F88</f>
        <v>883768.62</v>
      </c>
      <c r="I88" s="27">
        <f>ABS(ROUND(J88,0)-J88)+ABS(ROUND(K88,0)-K88)</f>
        <v>0</v>
      </c>
      <c r="J88" s="27">
        <f>Bilanca!I96</f>
        <v>376396</v>
      </c>
      <c r="K88" s="27">
        <f>Bilanca!J96</f>
        <v>319715</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3807250</v>
      </c>
      <c r="I98" s="27">
        <f t="shared" si="5"/>
        <v>0</v>
      </c>
      <c r="J98" s="27">
        <f>Bilanca!I106</f>
        <v>850000</v>
      </c>
      <c r="K98" s="27">
        <f>Bilanca!J106</f>
        <v>1537500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4042750</v>
      </c>
      <c r="I104" s="27">
        <f t="shared" si="5"/>
        <v>0</v>
      </c>
      <c r="J104" s="27">
        <f>Bilanca!I112</f>
        <v>850000</v>
      </c>
      <c r="K104" s="27">
        <f>Bilanca!J112</f>
        <v>1537500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32338447</v>
      </c>
      <c r="I110" s="27">
        <f t="shared" si="5"/>
        <v>0</v>
      </c>
      <c r="J110" s="27">
        <f>Bilanca!I118</f>
        <v>11839544</v>
      </c>
      <c r="K110" s="27">
        <f>Bilanca!J118</f>
        <v>8914378</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2242500</v>
      </c>
      <c r="I116" s="27">
        <f t="shared" si="5"/>
        <v>0</v>
      </c>
      <c r="J116" s="27">
        <f>Bilanca!I124</f>
        <v>500000</v>
      </c>
      <c r="K116" s="27">
        <f>Bilanca!J124</f>
        <v>725000</v>
      </c>
    </row>
    <row r="117" spans="4:11" ht="12.75">
      <c r="D117" s="4" t="s">
        <v>554</v>
      </c>
      <c r="E117" s="4">
        <v>1</v>
      </c>
      <c r="F117" s="4">
        <f>Bilanca!G125</f>
        <v>116</v>
      </c>
      <c r="G117" s="4">
        <f>IF(Bilanca!H125=0,"",Bilanca!H125)</f>
      </c>
      <c r="H117" s="26">
        <f t="shared" si="4"/>
        <v>1208104.04</v>
      </c>
      <c r="I117" s="27">
        <f t="shared" si="5"/>
        <v>0</v>
      </c>
      <c r="J117" s="27">
        <f>Bilanca!I125</f>
        <v>345263</v>
      </c>
      <c r="K117" s="27">
        <f>Bilanca!J125</f>
        <v>348103</v>
      </c>
    </row>
    <row r="118" spans="4:11" ht="12.75">
      <c r="D118" s="4" t="s">
        <v>554</v>
      </c>
      <c r="E118" s="4">
        <v>1</v>
      </c>
      <c r="F118" s="4">
        <f>Bilanca!G126</f>
        <v>117</v>
      </c>
      <c r="G118" s="4">
        <f>IF(Bilanca!H126=0,"",Bilanca!H126)</f>
      </c>
      <c r="H118" s="26">
        <f t="shared" si="4"/>
        <v>9554721.93</v>
      </c>
      <c r="I118" s="27">
        <f t="shared" si="5"/>
        <v>0</v>
      </c>
      <c r="J118" s="27">
        <f>Bilanca!I126</f>
        <v>5062173</v>
      </c>
      <c r="K118" s="27">
        <f>Bilanca!J126</f>
        <v>1552128</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4622024.26</v>
      </c>
      <c r="I120" s="27">
        <f t="shared" si="5"/>
        <v>0</v>
      </c>
      <c r="J120" s="27">
        <f>Bilanca!I128</f>
        <v>1205440</v>
      </c>
      <c r="K120" s="27">
        <f>Bilanca!J128</f>
        <v>1339307</v>
      </c>
    </row>
    <row r="121" spans="4:11" ht="12.75">
      <c r="D121" s="4" t="s">
        <v>554</v>
      </c>
      <c r="E121" s="4">
        <v>1</v>
      </c>
      <c r="F121" s="4">
        <f>Bilanca!G129</f>
        <v>120</v>
      </c>
      <c r="G121" s="4">
        <f>IF(Bilanca!H129=0,"",Bilanca!H129)</f>
      </c>
      <c r="H121" s="26">
        <f t="shared" si="4"/>
        <v>3101078.4</v>
      </c>
      <c r="I121" s="27">
        <f t="shared" si="5"/>
        <v>0</v>
      </c>
      <c r="J121" s="27">
        <f>Bilanca!I129</f>
        <v>659780</v>
      </c>
      <c r="K121" s="27">
        <f>Bilanca!J129</f>
        <v>962226</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14811802.68</v>
      </c>
      <c r="I124" s="27">
        <f t="shared" si="5"/>
        <v>0</v>
      </c>
      <c r="J124" s="27">
        <f>Bilanca!I132</f>
        <v>4066888</v>
      </c>
      <c r="K124" s="27">
        <f>Bilanca!J132</f>
        <v>3987614</v>
      </c>
    </row>
    <row r="125" spans="4:11" ht="12.75">
      <c r="D125" s="4" t="s">
        <v>554</v>
      </c>
      <c r="E125" s="4">
        <v>1</v>
      </c>
      <c r="F125" s="4">
        <f>Bilanca!G133</f>
        <v>124</v>
      </c>
      <c r="G125" s="4">
        <f>IF(Bilanca!H133=0,"",Bilanca!H133)</f>
      </c>
      <c r="H125" s="26">
        <f t="shared" si="4"/>
        <v>9513835.520000001</v>
      </c>
      <c r="I125" s="27">
        <f t="shared" si="5"/>
        <v>0</v>
      </c>
      <c r="J125" s="27">
        <f>Bilanca!I133</f>
        <v>2149208</v>
      </c>
      <c r="K125" s="27">
        <f>Bilanca!J133</f>
        <v>2761620</v>
      </c>
    </row>
    <row r="126" spans="4:11" ht="12.75">
      <c r="D126" s="4" t="s">
        <v>554</v>
      </c>
      <c r="E126" s="4">
        <v>1</v>
      </c>
      <c r="F126" s="4">
        <f>Bilanca!G134</f>
        <v>125</v>
      </c>
      <c r="G126" s="4">
        <f>IF(Bilanca!H134=0,"",Bilanca!H134)</f>
      </c>
      <c r="H126" s="26">
        <f t="shared" si="4"/>
        <v>84675420</v>
      </c>
      <c r="I126" s="27">
        <f t="shared" si="5"/>
        <v>0</v>
      </c>
      <c r="J126" s="27">
        <f>Bilanca!I134</f>
        <v>23450472</v>
      </c>
      <c r="K126" s="27">
        <f>Bilanca!J134</f>
        <v>22144932</v>
      </c>
    </row>
    <row r="127" spans="4:11" ht="12.75">
      <c r="D127" s="4" t="s">
        <v>554</v>
      </c>
      <c r="E127" s="4">
        <v>1</v>
      </c>
      <c r="F127" s="4">
        <f>Bilanca!G135</f>
        <v>126</v>
      </c>
      <c r="G127" s="4">
        <f>IF(Bilanca!H135=0,"",Bilanca!H135)</f>
      </c>
      <c r="H127" s="26">
        <f t="shared" si="4"/>
        <v>199115305.20000002</v>
      </c>
      <c r="I127" s="27">
        <f t="shared" si="5"/>
        <v>0</v>
      </c>
      <c r="J127" s="27">
        <f>Bilanca!I135</f>
        <v>50728560</v>
      </c>
      <c r="K127" s="27">
        <f>Bilanca!J135</f>
        <v>53649730</v>
      </c>
    </row>
    <row r="128" spans="4:11" ht="12.75">
      <c r="D128" s="4" t="s">
        <v>794</v>
      </c>
      <c r="E128" s="4">
        <v>2</v>
      </c>
      <c r="F128" s="4">
        <f>RDG!G8</f>
        <v>127</v>
      </c>
      <c r="G128" s="4">
        <f>IF(RDG!H8=0,"",RDG!H8)</f>
      </c>
      <c r="H128" s="26">
        <f t="shared" si="4"/>
        <v>144636222.03</v>
      </c>
      <c r="I128" s="4">
        <f t="shared" si="5"/>
        <v>0</v>
      </c>
      <c r="J128" s="27">
        <f>RDG!I8</f>
        <v>36852557</v>
      </c>
      <c r="K128" s="27">
        <f>RDG!J8</f>
        <v>38517116</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139517488.68</v>
      </c>
      <c r="I130" s="4">
        <f aca="true" t="shared" si="7" ref="I130:I192">ABS(ROUND(J130,0)-J130)+ABS(ROUND(K130,0)-K130)</f>
        <v>0</v>
      </c>
      <c r="J130" s="27">
        <f>RDG!I10</f>
        <v>35219970</v>
      </c>
      <c r="K130" s="27">
        <f>RDG!J10</f>
        <v>36466561</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7568480.040000001</v>
      </c>
      <c r="I133" s="4">
        <f t="shared" si="7"/>
        <v>0</v>
      </c>
      <c r="J133" s="27">
        <f>RDG!I13</f>
        <v>1632587</v>
      </c>
      <c r="K133" s="27">
        <f>RDG!J13</f>
        <v>2050555</v>
      </c>
    </row>
    <row r="134" spans="4:11" ht="12.75">
      <c r="D134" s="4" t="s">
        <v>794</v>
      </c>
      <c r="E134" s="4">
        <v>2</v>
      </c>
      <c r="F134" s="4">
        <f>RDG!G14</f>
        <v>133</v>
      </c>
      <c r="G134" s="4">
        <f>IF(RDG!H14=0,"",RDG!H14)</f>
      </c>
      <c r="H134" s="26">
        <f t="shared" si="6"/>
        <v>150016856.57</v>
      </c>
      <c r="I134" s="4">
        <f t="shared" si="7"/>
        <v>0</v>
      </c>
      <c r="J134" s="27">
        <f>RDG!I14</f>
        <v>36456307</v>
      </c>
      <c r="K134" s="27">
        <f>RDG!J14</f>
        <v>38169161</v>
      </c>
    </row>
    <row r="135" spans="4:11" ht="12.75">
      <c r="D135" s="4" t="s">
        <v>794</v>
      </c>
      <c r="E135" s="4">
        <v>2</v>
      </c>
      <c r="F135" s="4">
        <f>RDG!G15</f>
        <v>134</v>
      </c>
      <c r="G135" s="4">
        <f>IF(RDG!H15=0,"",RDG!H15)</f>
      </c>
      <c r="H135" s="26">
        <f t="shared" si="6"/>
        <v>-1088193.9</v>
      </c>
      <c r="I135" s="4">
        <f t="shared" si="7"/>
        <v>0</v>
      </c>
      <c r="J135" s="27">
        <f>RDG!I15</f>
        <v>-167657</v>
      </c>
      <c r="K135" s="27">
        <f>RDG!J15</f>
        <v>-322214</v>
      </c>
    </row>
    <row r="136" spans="4:11" ht="12.75">
      <c r="D136" s="4" t="s">
        <v>794</v>
      </c>
      <c r="E136" s="4">
        <v>2</v>
      </c>
      <c r="F136" s="4">
        <f>RDG!G16</f>
        <v>135</v>
      </c>
      <c r="G136" s="4">
        <f>IF(RDG!H16=0,"",RDG!H16)</f>
      </c>
      <c r="H136" s="26">
        <f t="shared" si="6"/>
        <v>36202381.650000006</v>
      </c>
      <c r="I136" s="4">
        <f t="shared" si="7"/>
        <v>0</v>
      </c>
      <c r="J136" s="27">
        <f>RDG!I16</f>
        <v>8937587</v>
      </c>
      <c r="K136" s="27">
        <f>RDG!J16</f>
        <v>8939496</v>
      </c>
    </row>
    <row r="137" spans="4:11" ht="12.75">
      <c r="D137" s="4" t="s">
        <v>794</v>
      </c>
      <c r="E137" s="4">
        <v>2</v>
      </c>
      <c r="F137" s="4">
        <f>RDG!G17</f>
        <v>136</v>
      </c>
      <c r="G137" s="4">
        <f>IF(RDG!H17=0,"",RDG!H17)</f>
      </c>
      <c r="H137" s="26">
        <f t="shared" si="6"/>
        <v>17560870.8</v>
      </c>
      <c r="I137" s="4">
        <f t="shared" si="7"/>
        <v>0</v>
      </c>
      <c r="J137" s="27">
        <f>RDG!I17</f>
        <v>4180751</v>
      </c>
      <c r="K137" s="27">
        <f>RDG!J17</f>
        <v>4365827</v>
      </c>
    </row>
    <row r="138" spans="4:11" ht="12.75">
      <c r="D138" s="4" t="s">
        <v>794</v>
      </c>
      <c r="E138" s="4">
        <v>2</v>
      </c>
      <c r="F138" s="4">
        <f>RDG!G18</f>
        <v>137</v>
      </c>
      <c r="G138" s="4">
        <f>IF(RDG!H18=0,"",RDG!H18)</f>
      </c>
      <c r="H138" s="26">
        <f t="shared" si="6"/>
        <v>5656050.48</v>
      </c>
      <c r="I138" s="4">
        <f t="shared" si="7"/>
        <v>0</v>
      </c>
      <c r="J138" s="27">
        <f>RDG!I18</f>
        <v>1337508</v>
      </c>
      <c r="K138" s="27">
        <f>RDG!J18</f>
        <v>1395498</v>
      </c>
    </row>
    <row r="139" spans="4:11" ht="12.75">
      <c r="D139" s="4" t="s">
        <v>794</v>
      </c>
      <c r="E139" s="4">
        <v>2</v>
      </c>
      <c r="F139" s="4">
        <f>RDG!G19</f>
        <v>138</v>
      </c>
      <c r="G139" s="4">
        <f>IF(RDG!H19=0,"",RDG!H19)</f>
      </c>
      <c r="H139" s="26">
        <f t="shared" si="6"/>
        <v>13490424.599999998</v>
      </c>
      <c r="I139" s="4">
        <f t="shared" si="7"/>
        <v>0</v>
      </c>
      <c r="J139" s="27">
        <f>RDG!I19</f>
        <v>3419328</v>
      </c>
      <c r="K139" s="27">
        <f>RDG!J19</f>
        <v>3178171</v>
      </c>
    </row>
    <row r="140" spans="4:11" ht="12.75">
      <c r="D140" s="4" t="s">
        <v>794</v>
      </c>
      <c r="E140" s="4">
        <v>2</v>
      </c>
      <c r="F140" s="4">
        <f>RDG!G20</f>
        <v>139</v>
      </c>
      <c r="G140" s="4">
        <f>IF(RDG!H20=0,"",RDG!H20)</f>
      </c>
      <c r="H140" s="26">
        <f t="shared" si="6"/>
        <v>72530026.25</v>
      </c>
      <c r="I140" s="4">
        <f t="shared" si="7"/>
        <v>0</v>
      </c>
      <c r="J140" s="27">
        <f>RDG!I20</f>
        <v>16497869</v>
      </c>
      <c r="K140" s="27">
        <f>RDG!J20</f>
        <v>17841003</v>
      </c>
    </row>
    <row r="141" spans="4:11" ht="12.75">
      <c r="D141" s="4" t="s">
        <v>794</v>
      </c>
      <c r="E141" s="4">
        <v>2</v>
      </c>
      <c r="F141" s="4">
        <f>RDG!G21</f>
        <v>140</v>
      </c>
      <c r="G141" s="4">
        <f>IF(RDG!H21=0,"",RDG!H21)</f>
      </c>
      <c r="H141" s="26">
        <f t="shared" si="6"/>
        <v>47567545.199999996</v>
      </c>
      <c r="I141" s="4">
        <f t="shared" si="7"/>
        <v>0</v>
      </c>
      <c r="J141" s="27">
        <f>RDG!I21</f>
        <v>10736744</v>
      </c>
      <c r="K141" s="27">
        <f>RDG!J21</f>
        <v>11620037</v>
      </c>
    </row>
    <row r="142" spans="4:11" ht="12.75">
      <c r="D142" s="4" t="s">
        <v>794</v>
      </c>
      <c r="E142" s="4">
        <v>2</v>
      </c>
      <c r="F142" s="4">
        <f>RDG!G22</f>
        <v>141</v>
      </c>
      <c r="G142" s="4">
        <f>IF(RDG!H22=0,"",RDG!H22)</f>
      </c>
      <c r="H142" s="26">
        <f t="shared" si="6"/>
        <v>15287697.989999998</v>
      </c>
      <c r="I142" s="4">
        <f t="shared" si="7"/>
        <v>0</v>
      </c>
      <c r="J142" s="27">
        <f>RDG!I22</f>
        <v>3421999</v>
      </c>
      <c r="K142" s="27">
        <f>RDG!J22</f>
        <v>3710170</v>
      </c>
    </row>
    <row r="143" spans="4:11" ht="12.75">
      <c r="D143" s="4" t="s">
        <v>794</v>
      </c>
      <c r="E143" s="4">
        <v>2</v>
      </c>
      <c r="F143" s="4">
        <f>RDG!G23</f>
        <v>142</v>
      </c>
      <c r="G143" s="4">
        <f>IF(RDG!H23=0,"",RDG!H23)</f>
      </c>
      <c r="H143" s="26">
        <f t="shared" si="6"/>
        <v>10452219.559999999</v>
      </c>
      <c r="I143" s="4">
        <f t="shared" si="7"/>
        <v>0</v>
      </c>
      <c r="J143" s="27">
        <f>RDG!I23</f>
        <v>2339126</v>
      </c>
      <c r="K143" s="27">
        <f>RDG!J23</f>
        <v>2510796</v>
      </c>
    </row>
    <row r="144" spans="4:11" ht="12.75">
      <c r="D144" s="4" t="s">
        <v>794</v>
      </c>
      <c r="E144" s="4">
        <v>2</v>
      </c>
      <c r="F144" s="4">
        <f>RDG!G24</f>
        <v>143</v>
      </c>
      <c r="G144" s="4">
        <f>IF(RDG!H24=0,"",RDG!H24)</f>
      </c>
      <c r="H144" s="26">
        <f t="shared" si="6"/>
        <v>9729186.61</v>
      </c>
      <c r="I144" s="4">
        <f t="shared" si="7"/>
        <v>0</v>
      </c>
      <c r="J144" s="27">
        <f>RDG!I24</f>
        <v>1958797</v>
      </c>
      <c r="K144" s="27">
        <f>RDG!J24</f>
        <v>2422415</v>
      </c>
    </row>
    <row r="145" spans="4:11" ht="12.75">
      <c r="D145" s="4" t="s">
        <v>794</v>
      </c>
      <c r="E145" s="4">
        <v>2</v>
      </c>
      <c r="F145" s="4">
        <f>RDG!G25</f>
        <v>144</v>
      </c>
      <c r="G145" s="4">
        <f>IF(RDG!H25=0,"",RDG!H25)</f>
      </c>
      <c r="H145" s="26">
        <f t="shared" si="6"/>
        <v>35348195.519999996</v>
      </c>
      <c r="I145" s="4">
        <f t="shared" si="7"/>
        <v>0</v>
      </c>
      <c r="J145" s="27">
        <f>RDG!I25</f>
        <v>8396906</v>
      </c>
      <c r="K145" s="27">
        <f>RDG!J25</f>
        <v>8075226</v>
      </c>
    </row>
    <row r="146" spans="4:11" ht="12.75">
      <c r="D146" s="4" t="s">
        <v>794</v>
      </c>
      <c r="E146" s="4">
        <v>2</v>
      </c>
      <c r="F146" s="4">
        <f>RDG!G26</f>
        <v>145</v>
      </c>
      <c r="G146" s="4">
        <f>IF(RDG!H26=0,"",RDG!H26)</f>
      </c>
      <c r="H146" s="26">
        <f t="shared" si="6"/>
        <v>4446475.75</v>
      </c>
      <c r="I146" s="4">
        <f t="shared" si="7"/>
        <v>0</v>
      </c>
      <c r="J146" s="27">
        <f>RDG!I26</f>
        <v>823429</v>
      </c>
      <c r="K146" s="27">
        <f>RDG!J26</f>
        <v>1121553</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4507806.45</v>
      </c>
      <c r="I148" s="4">
        <f t="shared" si="7"/>
        <v>0</v>
      </c>
      <c r="J148" s="27">
        <f>RDG!I28</f>
        <v>823429</v>
      </c>
      <c r="K148" s="27">
        <f>RDG!J28</f>
        <v>1121553</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298747</v>
      </c>
      <c r="I156" s="4">
        <f t="shared" si="7"/>
        <v>0</v>
      </c>
      <c r="J156" s="27">
        <f>RDG!I36</f>
        <v>9376</v>
      </c>
      <c r="K156" s="27">
        <f>RDG!J36</f>
        <v>91682</v>
      </c>
    </row>
    <row r="157" spans="4:11" ht="12.75">
      <c r="D157" s="4" t="s">
        <v>794</v>
      </c>
      <c r="E157" s="4">
        <v>2</v>
      </c>
      <c r="F157" s="4">
        <f>RDG!G37</f>
        <v>156</v>
      </c>
      <c r="G157" s="4">
        <f>IF(RDG!H37=0,"",RDG!H37)</f>
      </c>
      <c r="H157" s="26">
        <f t="shared" si="6"/>
        <v>636932.4</v>
      </c>
      <c r="I157" s="4">
        <f t="shared" si="7"/>
        <v>0</v>
      </c>
      <c r="J157" s="27">
        <f>RDG!I37</f>
        <v>132194</v>
      </c>
      <c r="K157" s="27">
        <f>RDG!J37</f>
        <v>138048</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665512.7</v>
      </c>
      <c r="I164" s="4">
        <f t="shared" si="7"/>
        <v>0</v>
      </c>
      <c r="J164" s="27">
        <f>RDG!I44</f>
        <v>132194</v>
      </c>
      <c r="K164" s="27">
        <f>RDG!J44</f>
        <v>138048</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155956.28999999998</v>
      </c>
      <c r="I168" s="4">
        <f t="shared" si="7"/>
        <v>0</v>
      </c>
      <c r="J168" s="27">
        <f>RDG!I48</f>
        <v>17509</v>
      </c>
      <c r="K168" s="27">
        <f>RDG!J48</f>
        <v>37939</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154802</v>
      </c>
      <c r="I171" s="4">
        <f t="shared" si="7"/>
        <v>0</v>
      </c>
      <c r="J171" s="27">
        <f>RDG!I51</f>
        <v>17506</v>
      </c>
      <c r="K171" s="27">
        <f>RDG!J51</f>
        <v>36777</v>
      </c>
    </row>
    <row r="172" spans="4:11" ht="12.75">
      <c r="D172" s="4" t="s">
        <v>794</v>
      </c>
      <c r="E172" s="4">
        <v>2</v>
      </c>
      <c r="F172" s="4">
        <f>RDG!G52</f>
        <v>171</v>
      </c>
      <c r="G172" s="4">
        <f>IF(RDG!H52=0,"",RDG!H52)</f>
      </c>
      <c r="H172" s="26">
        <f t="shared" si="6"/>
        <v>3979.1699999999996</v>
      </c>
      <c r="I172" s="4">
        <f t="shared" si="7"/>
        <v>0</v>
      </c>
      <c r="J172" s="27">
        <f>RDG!I52</f>
        <v>3</v>
      </c>
      <c r="K172" s="27">
        <f>RDG!J52</f>
        <v>1162</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204588191.41</v>
      </c>
      <c r="I180" s="4">
        <f t="shared" si="7"/>
        <v>0</v>
      </c>
      <c r="J180" s="27">
        <f>RDG!I60</f>
        <v>36984751</v>
      </c>
      <c r="K180" s="27">
        <f>RDG!J60</f>
        <v>38655164</v>
      </c>
    </row>
    <row r="181" spans="4:11" ht="12.75">
      <c r="D181" s="4" t="s">
        <v>794</v>
      </c>
      <c r="E181" s="4">
        <v>2</v>
      </c>
      <c r="F181" s="4">
        <f>RDG!G61</f>
        <v>180</v>
      </c>
      <c r="G181" s="4">
        <f>IF(RDG!H61=0,"",RDG!H61)</f>
      </c>
      <c r="H181" s="26">
        <f t="shared" si="6"/>
        <v>203198428.8</v>
      </c>
      <c r="I181" s="4">
        <f t="shared" si="7"/>
        <v>0</v>
      </c>
      <c r="J181" s="27">
        <f>RDG!I61</f>
        <v>36473816</v>
      </c>
      <c r="K181" s="27">
        <f>RDG!J61</f>
        <v>38207100</v>
      </c>
    </row>
    <row r="182" spans="4:11" ht="12.75">
      <c r="D182" s="4" t="s">
        <v>794</v>
      </c>
      <c r="E182" s="4">
        <v>2</v>
      </c>
      <c r="F182" s="4">
        <f>RDG!G62</f>
        <v>181</v>
      </c>
      <c r="G182" s="4">
        <f>IF(RDG!H62=0,"",RDG!H62)</f>
      </c>
      <c r="H182" s="26">
        <f t="shared" si="6"/>
        <v>2546784.0300000003</v>
      </c>
      <c r="I182" s="4">
        <f t="shared" si="7"/>
        <v>0</v>
      </c>
      <c r="J182" s="27">
        <f>RDG!I62</f>
        <v>510935</v>
      </c>
      <c r="K182" s="27">
        <f>RDG!J62</f>
        <v>448064</v>
      </c>
    </row>
    <row r="183" spans="4:11" ht="12.75">
      <c r="D183" s="4" t="s">
        <v>794</v>
      </c>
      <c r="E183" s="4">
        <v>2</v>
      </c>
      <c r="F183" s="4">
        <f>RDG!G63</f>
        <v>182</v>
      </c>
      <c r="G183" s="4">
        <f>IF(RDG!H63=0,"",RDG!H63)</f>
      </c>
      <c r="H183" s="26">
        <f t="shared" si="6"/>
        <v>2560854.66</v>
      </c>
      <c r="I183" s="4">
        <f t="shared" si="7"/>
        <v>0</v>
      </c>
      <c r="J183" s="27">
        <f>RDG!I63</f>
        <v>510935</v>
      </c>
      <c r="K183" s="27">
        <f>RDG!J63</f>
        <v>448064</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719876.0800000001</v>
      </c>
      <c r="I185" s="4">
        <f t="shared" si="7"/>
        <v>0</v>
      </c>
      <c r="J185" s="27">
        <f>RDG!I65</f>
        <v>134539</v>
      </c>
      <c r="K185" s="27">
        <f>RDG!J65</f>
        <v>128349</v>
      </c>
    </row>
    <row r="186" spans="4:11" ht="12.75">
      <c r="D186" s="4" t="s">
        <v>794</v>
      </c>
      <c r="E186" s="4">
        <v>2</v>
      </c>
      <c r="F186" s="4">
        <f>RDG!G66</f>
        <v>185</v>
      </c>
      <c r="G186" s="4">
        <f>IF(RDG!H66=0,"",RDG!H66)</f>
      </c>
      <c r="H186" s="26">
        <f t="shared" si="6"/>
        <v>1879278.1</v>
      </c>
      <c r="I186" s="4">
        <f t="shared" si="7"/>
        <v>0</v>
      </c>
      <c r="J186" s="27">
        <f>RDG!I66</f>
        <v>376396</v>
      </c>
      <c r="K186" s="27">
        <f>RDG!J66</f>
        <v>319715</v>
      </c>
    </row>
    <row r="187" spans="4:11" ht="12.75">
      <c r="D187" s="4" t="s">
        <v>794</v>
      </c>
      <c r="E187" s="4">
        <v>2</v>
      </c>
      <c r="F187" s="4">
        <f>RDG!G67</f>
        <v>186</v>
      </c>
      <c r="G187" s="4">
        <f>IF(RDG!H67=0,"",RDG!H67)</f>
      </c>
      <c r="H187" s="26">
        <f t="shared" si="6"/>
        <v>1889436.36</v>
      </c>
      <c r="I187" s="4">
        <f t="shared" si="7"/>
        <v>0</v>
      </c>
      <c r="J187" s="27">
        <f>RDG!I67</f>
        <v>376396</v>
      </c>
      <c r="K187" s="27">
        <f>RDG!J67</f>
        <v>319715</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GRADSKO KOMUNALNO PODUZEĆE ČAKOM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2</v>
      </c>
      <c r="T3" s="206" t="s">
        <v>614</v>
      </c>
      <c r="U3" s="224" t="str">
        <f>RefStr!L21</f>
        <v>76879095834</v>
      </c>
      <c r="V3" s="206" t="s">
        <v>2736</v>
      </c>
      <c r="W3" s="224">
        <f>RefStr!C31</f>
        <v>40000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14001865632</v>
      </c>
      <c r="V4" s="206" t="s">
        <v>2737</v>
      </c>
      <c r="W4" s="224" t="str">
        <f>RefStr!F31</f>
        <v>MIHOVLJAN</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2</v>
      </c>
      <c r="T5" s="206" t="s">
        <v>1560</v>
      </c>
      <c r="U5" s="224" t="str">
        <f>RefStr!H27</f>
        <v>01092740</v>
      </c>
      <c r="V5" s="206" t="s">
        <v>2738</v>
      </c>
      <c r="W5" s="224" t="str">
        <f>RefStr!C33</f>
        <v>MIHOVLJANSKA 10</v>
      </c>
      <c r="X5" s="226" t="s">
        <v>2929</v>
      </c>
      <c r="Y5" s="227" t="str">
        <f>RefStr!I62</f>
        <v>DA</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070024586</v>
      </c>
      <c r="V6" s="206" t="s">
        <v>2968</v>
      </c>
      <c r="W6" s="224" t="str">
        <f>RefStr!L35</f>
        <v>040/372400</v>
      </c>
      <c r="X6" s="206" t="s">
        <v>2926</v>
      </c>
      <c r="Y6" s="224" t="str">
        <f>RefStr!C68</f>
        <v>Maja Sakal</v>
      </c>
      <c r="Z6" s="206" t="s">
        <v>2952</v>
      </c>
      <c r="AA6" s="224">
        <f>RefStr!C46</f>
        <v>0</v>
      </c>
    </row>
    <row r="7" spans="1:27" ht="13.5" customHeight="1">
      <c r="A7" s="505"/>
      <c r="B7" s="506"/>
      <c r="C7" s="506"/>
      <c r="D7" s="506"/>
      <c r="E7" s="506"/>
      <c r="F7" s="506"/>
      <c r="G7" s="506"/>
      <c r="H7" s="506"/>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CAKOM@CAKOM.HR</v>
      </c>
      <c r="X7" s="206" t="s">
        <v>2927</v>
      </c>
      <c r="Y7" s="224" t="str">
        <f>RefStr!C70</f>
        <v>040/372416</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3811</v>
      </c>
      <c r="X8" s="206" t="s">
        <v>2928</v>
      </c>
      <c r="Y8" s="224" t="str">
        <f>TRIM(UPPER(RefStr!C72))</f>
        <v>MAJA.SAKAL@CAKOM.HR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139</v>
      </c>
      <c r="Q9" s="223">
        <f>RefStr!F58</f>
        <v>136</v>
      </c>
      <c r="R9" s="206" t="s">
        <v>914</v>
      </c>
      <c r="S9" s="224">
        <f>IF(RefStr!F4&lt;&gt;"",RefStr!F4,0)</f>
        <v>44561</v>
      </c>
      <c r="T9" s="206" t="s">
        <v>891</v>
      </c>
      <c r="U9" s="224">
        <f>RefStr!C39</f>
        <v>60</v>
      </c>
      <c r="V9" s="206" t="s">
        <v>2951</v>
      </c>
      <c r="W9" s="224" t="str">
        <f>RefStr!D42</f>
        <v>Skupljanje neopasnog otpada</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171</v>
      </c>
      <c r="Q10" s="225">
        <f>RefStr!F56</f>
        <v>170</v>
      </c>
      <c r="R10" s="208" t="s">
        <v>917</v>
      </c>
      <c r="S10" s="225">
        <f>RefStr!C23</f>
        <v>1</v>
      </c>
      <c r="T10" s="208" t="s">
        <v>2973</v>
      </c>
      <c r="U10" s="225" t="str">
        <f>RefStr!D39</f>
        <v>Čakovec</v>
      </c>
      <c r="V10" s="232"/>
      <c r="W10" s="233"/>
      <c r="X10" s="234" t="s">
        <v>2279</v>
      </c>
      <c r="Y10" s="235">
        <f>RefStr!F12</f>
        <v>2021</v>
      </c>
      <c r="Z10" s="208" t="s">
        <v>1771</v>
      </c>
      <c r="AA10" s="225" t="str">
        <f>RefStr!A75</f>
        <v>Perhoč Ivan</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1</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1</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C:\Users\Korisnik\Desktop\[GFI-POD 2021 JO.xls]RefStr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3" activePane="bottomLeft" state="frozen"/>
      <selection pane="topLeft" activeCell="A1" sqref="A1"/>
      <selection pane="bottomLeft" activeCell="I76" sqref="I76"/>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46" t="s">
        <v>696</v>
      </c>
      <c r="B2" s="347"/>
      <c r="C2" s="347"/>
      <c r="D2" s="347"/>
      <c r="E2" s="347"/>
      <c r="F2" s="347"/>
      <c r="G2" s="347"/>
      <c r="H2" s="347"/>
      <c r="I2" s="347"/>
      <c r="J2" s="347"/>
      <c r="K2" s="347"/>
      <c r="L2" s="347"/>
      <c r="M2" s="347"/>
      <c r="N2" s="348"/>
      <c r="O2" s="3"/>
      <c r="P2" s="50"/>
      <c r="Q2" s="49">
        <f>IF(F4&lt;&gt;"",YEAR(F4),"")</f>
        <v>2021</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44197</v>
      </c>
      <c r="D4" s="345"/>
      <c r="E4" s="7" t="s">
        <v>560</v>
      </c>
      <c r="F4" s="344">
        <v>44561</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57.21</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2021</v>
      </c>
      <c r="G12" s="370"/>
      <c r="H12" s="362" t="s">
        <v>1983</v>
      </c>
      <c r="I12" s="363"/>
      <c r="J12" s="363"/>
      <c r="K12" s="152"/>
      <c r="L12" s="152"/>
      <c r="M12" s="152"/>
      <c r="N12" s="152"/>
      <c r="P12" s="50" t="s">
        <v>1561</v>
      </c>
      <c r="Q12" s="51">
        <f>INT(VALUE(H27))/10</f>
        <v>109274</v>
      </c>
    </row>
    <row r="13" spans="4:17" ht="9.75" customHeight="1">
      <c r="D13" s="152"/>
      <c r="E13" s="158"/>
      <c r="H13" s="23"/>
      <c r="I13" s="159"/>
      <c r="J13" s="159"/>
      <c r="K13" s="152"/>
      <c r="L13" s="152"/>
      <c r="M13" s="152"/>
      <c r="N13" s="152"/>
      <c r="P13" s="50" t="s">
        <v>1561</v>
      </c>
      <c r="Q13" s="51">
        <f>INT(VALUE(M27))/50</f>
        <v>1400491.72</v>
      </c>
    </row>
    <row r="14" spans="1:17" ht="15">
      <c r="A14" s="377" t="s">
        <v>1312</v>
      </c>
      <c r="B14" s="377"/>
      <c r="C14" s="377"/>
      <c r="D14" s="160"/>
      <c r="E14" s="161"/>
      <c r="F14" s="375"/>
      <c r="G14" s="376"/>
      <c r="H14" s="376"/>
      <c r="I14" s="152"/>
      <c r="J14" s="367" t="s">
        <v>1978</v>
      </c>
      <c r="K14" s="368"/>
      <c r="L14" s="368"/>
      <c r="M14" s="368"/>
      <c r="N14" s="368"/>
      <c r="P14" s="50" t="s">
        <v>1316</v>
      </c>
      <c r="Q14" s="51">
        <f>INT(VALUE(C27))/100</f>
        <v>140018656.32</v>
      </c>
    </row>
    <row r="15" spans="1:17" ht="19.5" customHeight="1">
      <c r="A15" s="364">
        <f>Skriveni!B59</f>
        <v>2659713136.9199996</v>
      </c>
      <c r="B15" s="365"/>
      <c r="C15" s="366"/>
      <c r="D15" s="56"/>
      <c r="E15" s="56"/>
      <c r="F15" s="56"/>
      <c r="G15" s="56"/>
      <c r="H15" s="56"/>
      <c r="I15" s="56"/>
      <c r="J15" s="56"/>
      <c r="K15" s="56"/>
      <c r="L15" s="56"/>
      <c r="M15" s="56"/>
      <c r="N15" s="56"/>
      <c r="P15" s="50" t="s">
        <v>887</v>
      </c>
      <c r="Q15" s="51">
        <f>LEN(Skriveni!B9)</f>
        <v>39</v>
      </c>
    </row>
    <row r="16" spans="4:17" ht="12.75" customHeight="1">
      <c r="D16" s="56"/>
      <c r="E16" s="56"/>
      <c r="F16" s="56"/>
      <c r="G16" s="56"/>
      <c r="H16" s="56"/>
      <c r="I16" s="56"/>
      <c r="P16" s="50" t="s">
        <v>888</v>
      </c>
      <c r="Q16" s="51">
        <f>INT(VALUE(C31))/100</f>
        <v>400</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9</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2</v>
      </c>
      <c r="D19" s="380"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198</v>
      </c>
      <c r="J19" s="379"/>
      <c r="K19" s="379"/>
      <c r="L19" s="379"/>
      <c r="M19" s="379"/>
      <c r="N19" s="32" t="s">
        <v>2982</v>
      </c>
      <c r="P19" s="50" t="s">
        <v>890</v>
      </c>
      <c r="Q19" s="51">
        <f>LEN(Skriveni!B12)</f>
        <v>15</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1587</v>
      </c>
      <c r="J21" s="378" t="s">
        <v>1988</v>
      </c>
      <c r="K21" s="379"/>
      <c r="L21" s="288" t="s">
        <v>2996</v>
      </c>
      <c r="M21" s="319"/>
      <c r="N21" s="290"/>
      <c r="P21" s="50" t="s">
        <v>891</v>
      </c>
      <c r="Q21" s="51">
        <f>INT(VALUE(C39))</f>
        <v>60</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3811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40000</v>
      </c>
      <c r="D31" s="328" t="s">
        <v>929</v>
      </c>
      <c r="E31" s="329"/>
      <c r="F31" s="302" t="s">
        <v>2987</v>
      </c>
      <c r="G31" s="330"/>
      <c r="H31" s="330"/>
      <c r="I31" s="330"/>
      <c r="J31" s="330"/>
      <c r="K31" s="330"/>
      <c r="L31" s="331"/>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2990</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2991</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60</v>
      </c>
      <c r="D39" s="278" t="str">
        <f>IF(C39="","Upišite šifru grada/općine",IF(ISNA(LOOKUP(C39,A177:A732,A177:A732)),"Šifra grada/općine ne postoji",IF(LOOKUP(C39,A177:A732,A177:A732)&lt;&gt;C39,"Šifra grada/općine ne postoji",LOOKUP(C39,A177:A732,B177:B732))))</f>
        <v>Čakovec</v>
      </c>
      <c r="E39" s="323"/>
      <c r="F39" s="323"/>
      <c r="G39" s="323"/>
      <c r="H39" s="287" t="s">
        <v>2109</v>
      </c>
      <c r="I39" s="306"/>
      <c r="J39" s="54">
        <f>IF(C39&gt;0,LOOKUP(C39,A177:A732,C177:C732),"")</f>
        <v>20</v>
      </c>
      <c r="K39" s="332" t="str">
        <f>IF(J39="","Upišite šifru grada/općine",LOOKUP(J39,A153:A173,B153:B173))</f>
        <v>MEĐIMURSKA</v>
      </c>
      <c r="L39" s="332"/>
      <c r="M39" s="332"/>
      <c r="N39" s="332"/>
      <c r="P39" s="50" t="s">
        <v>896</v>
      </c>
      <c r="Q39" s="51">
        <f>C56+2*F56+3*C58+4*F58</f>
        <v>1472</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2350</v>
      </c>
      <c r="D42" s="320" t="str">
        <f>IF(C42="","Upišite šifru razreda glavne djelatnosti",IF(ISNA(LOOKUP(C42,A736:A1351,A736:A1351)),"Šifra NKD-a ne postoji",IF(LOOKUP(C42,A736:A1351,A736:A1351)&lt;&gt;C42,"Šifra NKD-a ne postoji",LOOKUP(C42,A736:A1351,B736:B1351))))</f>
        <v>Skupljanje neopasnog otpada</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11</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768790958.34</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NE</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171</v>
      </c>
      <c r="D56" s="326" t="s">
        <v>2653</v>
      </c>
      <c r="E56" s="327"/>
      <c r="F56" s="40">
        <v>170</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139</v>
      </c>
      <c r="D58" s="314" t="s">
        <v>2653</v>
      </c>
      <c r="E58" s="314"/>
      <c r="F58" s="40">
        <v>136</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1587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2992</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2993</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2994</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2995</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tabSelected="1" zoomScalePageLayoutView="0" workbookViewId="0" topLeftCell="A1">
      <pane ySplit="1" topLeftCell="A113" activePane="bottomLeft" state="frozen"/>
      <selection pane="topLeft" activeCell="A1" sqref="A1"/>
      <selection pane="bottomLeft" activeCell="J135" sqref="J13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31.12.2021.</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14001865632; GRADSKO KOMUNALNO PODUZEĆE ČAKOM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10562757</v>
      </c>
      <c r="J10" s="66">
        <f>J11+J18+J28+J39+J44</f>
        <v>9808732</v>
      </c>
    </row>
    <row r="11" spans="1:10" ht="13.5" customHeight="1">
      <c r="A11" s="386" t="s">
        <v>904</v>
      </c>
      <c r="B11" s="386"/>
      <c r="C11" s="386"/>
      <c r="D11" s="386"/>
      <c r="E11" s="386"/>
      <c r="F11" s="386"/>
      <c r="G11" s="15">
        <v>3</v>
      </c>
      <c r="H11" s="16"/>
      <c r="I11" s="66">
        <f>SUM(I12:I17)</f>
        <v>6550</v>
      </c>
      <c r="J11" s="66">
        <f>SUM(J12:J17)</f>
        <v>2857</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v>6550</v>
      </c>
      <c r="J13" s="67">
        <v>2857</v>
      </c>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10518414</v>
      </c>
      <c r="J18" s="66">
        <f>SUM(J19:J27)</f>
        <v>9776956</v>
      </c>
    </row>
    <row r="19" spans="1:10" ht="13.5" customHeight="1">
      <c r="A19" s="385" t="s">
        <v>733</v>
      </c>
      <c r="B19" s="385"/>
      <c r="C19" s="385"/>
      <c r="D19" s="385"/>
      <c r="E19" s="385"/>
      <c r="F19" s="385"/>
      <c r="G19" s="15">
        <v>11</v>
      </c>
      <c r="H19" s="16"/>
      <c r="I19" s="67">
        <v>1172870</v>
      </c>
      <c r="J19" s="67">
        <v>1172870</v>
      </c>
    </row>
    <row r="20" spans="1:10" ht="13.5" customHeight="1">
      <c r="A20" s="385" t="s">
        <v>796</v>
      </c>
      <c r="B20" s="385"/>
      <c r="C20" s="385"/>
      <c r="D20" s="385"/>
      <c r="E20" s="385"/>
      <c r="F20" s="385"/>
      <c r="G20" s="15">
        <v>12</v>
      </c>
      <c r="H20" s="16"/>
      <c r="I20" s="67">
        <v>2958457</v>
      </c>
      <c r="J20" s="67">
        <v>4143109</v>
      </c>
    </row>
    <row r="21" spans="1:10" ht="13.5" customHeight="1">
      <c r="A21" s="385" t="s">
        <v>734</v>
      </c>
      <c r="B21" s="385"/>
      <c r="C21" s="385"/>
      <c r="D21" s="385"/>
      <c r="E21" s="385"/>
      <c r="F21" s="385"/>
      <c r="G21" s="15">
        <v>13</v>
      </c>
      <c r="H21" s="16"/>
      <c r="I21" s="67">
        <v>881388</v>
      </c>
      <c r="J21" s="67">
        <v>808169</v>
      </c>
    </row>
    <row r="22" spans="1:10" ht="13.5" customHeight="1">
      <c r="A22" s="385" t="s">
        <v>405</v>
      </c>
      <c r="B22" s="385"/>
      <c r="C22" s="385"/>
      <c r="D22" s="385"/>
      <c r="E22" s="385"/>
      <c r="F22" s="385"/>
      <c r="G22" s="15">
        <v>14</v>
      </c>
      <c r="H22" s="16"/>
      <c r="I22" s="67">
        <v>4127295</v>
      </c>
      <c r="J22" s="67">
        <v>3554000</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v>1270842</v>
      </c>
      <c r="J25" s="67">
        <v>0</v>
      </c>
    </row>
    <row r="26" spans="1:10" ht="13.5" customHeight="1">
      <c r="A26" s="385" t="s">
        <v>2693</v>
      </c>
      <c r="B26" s="385"/>
      <c r="C26" s="385"/>
      <c r="D26" s="385"/>
      <c r="E26" s="385"/>
      <c r="F26" s="385"/>
      <c r="G26" s="15">
        <v>18</v>
      </c>
      <c r="H26" s="16"/>
      <c r="I26" s="67">
        <v>18900</v>
      </c>
      <c r="J26" s="67">
        <v>27500</v>
      </c>
    </row>
    <row r="27" spans="1:10" ht="13.5" customHeight="1">
      <c r="A27" s="385" t="s">
        <v>2694</v>
      </c>
      <c r="B27" s="385"/>
      <c r="C27" s="385"/>
      <c r="D27" s="385"/>
      <c r="E27" s="385"/>
      <c r="F27" s="385"/>
      <c r="G27" s="15">
        <v>19</v>
      </c>
      <c r="H27" s="16"/>
      <c r="I27" s="67">
        <v>88662</v>
      </c>
      <c r="J27" s="67">
        <v>71308</v>
      </c>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37793</v>
      </c>
      <c r="J39" s="66">
        <f>SUM(J40:J43)</f>
        <v>28919</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v>37793</v>
      </c>
      <c r="J43" s="67">
        <v>28919</v>
      </c>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12450306</v>
      </c>
      <c r="J45" s="66">
        <f>J46+J54+J61+J71</f>
        <v>12016094</v>
      </c>
    </row>
    <row r="46" spans="1:10" ht="13.5" customHeight="1">
      <c r="A46" s="386" t="s">
        <v>1264</v>
      </c>
      <c r="B46" s="386"/>
      <c r="C46" s="386"/>
      <c r="D46" s="386"/>
      <c r="E46" s="386"/>
      <c r="F46" s="386"/>
      <c r="G46" s="15">
        <v>38</v>
      </c>
      <c r="H46" s="16"/>
      <c r="I46" s="66">
        <f>SUM(I47:I53)</f>
        <v>1254322</v>
      </c>
      <c r="J46" s="66">
        <f>SUM(J47:J53)</f>
        <v>1201453</v>
      </c>
    </row>
    <row r="47" spans="1:10" ht="13.5" customHeight="1">
      <c r="A47" s="385" t="s">
        <v>1892</v>
      </c>
      <c r="B47" s="385"/>
      <c r="C47" s="385"/>
      <c r="D47" s="385"/>
      <c r="E47" s="385"/>
      <c r="F47" s="385"/>
      <c r="G47" s="15">
        <v>39</v>
      </c>
      <c r="H47" s="16"/>
      <c r="I47" s="67">
        <v>1000295</v>
      </c>
      <c r="J47" s="67">
        <v>854437</v>
      </c>
    </row>
    <row r="48" spans="1:10" ht="13.5" customHeight="1">
      <c r="A48" s="385" t="s">
        <v>1893</v>
      </c>
      <c r="B48" s="385"/>
      <c r="C48" s="385"/>
      <c r="D48" s="385"/>
      <c r="E48" s="385"/>
      <c r="F48" s="385"/>
      <c r="G48" s="15">
        <v>40</v>
      </c>
      <c r="H48" s="16"/>
      <c r="I48" s="67">
        <v>61677</v>
      </c>
      <c r="J48" s="67">
        <v>181247</v>
      </c>
    </row>
    <row r="49" spans="1:10" ht="13.5" customHeight="1">
      <c r="A49" s="385" t="s">
        <v>1894</v>
      </c>
      <c r="B49" s="385"/>
      <c r="C49" s="385"/>
      <c r="D49" s="385"/>
      <c r="E49" s="385"/>
      <c r="F49" s="385"/>
      <c r="G49" s="15">
        <v>41</v>
      </c>
      <c r="H49" s="16"/>
      <c r="I49" s="67">
        <v>12745</v>
      </c>
      <c r="J49" s="67">
        <v>12745</v>
      </c>
    </row>
    <row r="50" spans="1:10" ht="13.5" customHeight="1">
      <c r="A50" s="385" t="s">
        <v>1895</v>
      </c>
      <c r="B50" s="385"/>
      <c r="C50" s="385"/>
      <c r="D50" s="385"/>
      <c r="E50" s="385"/>
      <c r="F50" s="385"/>
      <c r="G50" s="15">
        <v>42</v>
      </c>
      <c r="H50" s="16"/>
      <c r="I50" s="67">
        <v>175986</v>
      </c>
      <c r="J50" s="67">
        <v>146090</v>
      </c>
    </row>
    <row r="51" spans="1:10" ht="13.5" customHeight="1">
      <c r="A51" s="385" t="s">
        <v>1896</v>
      </c>
      <c r="B51" s="385"/>
      <c r="C51" s="385"/>
      <c r="D51" s="385"/>
      <c r="E51" s="385"/>
      <c r="F51" s="385"/>
      <c r="G51" s="15">
        <v>43</v>
      </c>
      <c r="H51" s="16"/>
      <c r="I51" s="67">
        <v>3619</v>
      </c>
      <c r="J51" s="67">
        <v>6934</v>
      </c>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8428934</v>
      </c>
      <c r="J54" s="66">
        <f>SUM(J55:J60)</f>
        <v>7984288</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8085140</v>
      </c>
      <c r="J57" s="67">
        <v>7872274</v>
      </c>
    </row>
    <row r="58" spans="1:10" ht="13.5" customHeight="1">
      <c r="A58" s="385" t="s">
        <v>2009</v>
      </c>
      <c r="B58" s="385"/>
      <c r="C58" s="385"/>
      <c r="D58" s="385"/>
      <c r="E58" s="385"/>
      <c r="F58" s="385"/>
      <c r="G58" s="15">
        <v>50</v>
      </c>
      <c r="H58" s="16"/>
      <c r="I58" s="67">
        <v>2861</v>
      </c>
      <c r="J58" s="67">
        <v>2556</v>
      </c>
    </row>
    <row r="59" spans="1:10" ht="13.5" customHeight="1">
      <c r="A59" s="385" t="s">
        <v>2010</v>
      </c>
      <c r="B59" s="385"/>
      <c r="C59" s="385"/>
      <c r="D59" s="385"/>
      <c r="E59" s="385"/>
      <c r="F59" s="385"/>
      <c r="G59" s="15">
        <v>51</v>
      </c>
      <c r="H59" s="16"/>
      <c r="I59" s="67">
        <v>304730</v>
      </c>
      <c r="J59" s="67">
        <v>99640</v>
      </c>
    </row>
    <row r="60" spans="1:10" ht="13.5" customHeight="1">
      <c r="A60" s="385" t="s">
        <v>1255</v>
      </c>
      <c r="B60" s="385"/>
      <c r="C60" s="385"/>
      <c r="D60" s="385"/>
      <c r="E60" s="385"/>
      <c r="F60" s="385"/>
      <c r="G60" s="15">
        <v>52</v>
      </c>
      <c r="H60" s="16"/>
      <c r="I60" s="67">
        <v>36203</v>
      </c>
      <c r="J60" s="67">
        <v>9818</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2767050</v>
      </c>
      <c r="J71" s="67">
        <v>2830353</v>
      </c>
    </row>
    <row r="72" spans="1:10" ht="24.75" customHeight="1">
      <c r="A72" s="387" t="s">
        <v>591</v>
      </c>
      <c r="B72" s="387"/>
      <c r="C72" s="387"/>
      <c r="D72" s="387"/>
      <c r="E72" s="387"/>
      <c r="F72" s="387"/>
      <c r="G72" s="15">
        <v>64</v>
      </c>
      <c r="H72" s="16"/>
      <c r="I72" s="67">
        <v>437409</v>
      </c>
      <c r="J72" s="67">
        <v>320106</v>
      </c>
    </row>
    <row r="73" spans="1:10" ht="13.5" customHeight="1">
      <c r="A73" s="387" t="s">
        <v>1267</v>
      </c>
      <c r="B73" s="387"/>
      <c r="C73" s="387"/>
      <c r="D73" s="387"/>
      <c r="E73" s="387"/>
      <c r="F73" s="387"/>
      <c r="G73" s="15">
        <v>65</v>
      </c>
      <c r="H73" s="16"/>
      <c r="I73" s="66">
        <f>I9+I10+I45+I72</f>
        <v>23450472</v>
      </c>
      <c r="J73" s="66">
        <f>J9+J10+J45+J72</f>
        <v>22144932</v>
      </c>
    </row>
    <row r="74" spans="1:10" ht="13.5" customHeight="1">
      <c r="A74" s="388" t="s">
        <v>1004</v>
      </c>
      <c r="B74" s="388"/>
      <c r="C74" s="388"/>
      <c r="D74" s="388"/>
      <c r="E74" s="388"/>
      <c r="F74" s="388"/>
      <c r="G74" s="17">
        <v>66</v>
      </c>
      <c r="H74" s="18"/>
      <c r="I74" s="68">
        <v>50728560</v>
      </c>
      <c r="J74" s="68">
        <v>53649730</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8611720</v>
      </c>
      <c r="J76" s="66">
        <f>J77+J78+J79+J85+J86+J92+J95+J98</f>
        <v>8931434</v>
      </c>
      <c r="L76" s="2" t="s">
        <v>1209</v>
      </c>
    </row>
    <row r="77" spans="1:10" ht="13.5" customHeight="1">
      <c r="A77" s="386" t="s">
        <v>1857</v>
      </c>
      <c r="B77" s="386"/>
      <c r="C77" s="386"/>
      <c r="D77" s="386"/>
      <c r="E77" s="386"/>
      <c r="F77" s="386"/>
      <c r="G77" s="15">
        <v>68</v>
      </c>
      <c r="H77" s="16"/>
      <c r="I77" s="67">
        <v>4973000</v>
      </c>
      <c r="J77" s="67">
        <v>4973000</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1592106</v>
      </c>
      <c r="J79" s="66">
        <f>J80+J81-J82+J83+J84</f>
        <v>1592106</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v>1592106</v>
      </c>
      <c r="J84" s="67">
        <v>1592106</v>
      </c>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1670218</v>
      </c>
      <c r="J92" s="66">
        <f>J93-J94</f>
        <v>2046613</v>
      </c>
      <c r="L92" s="2" t="s">
        <v>1209</v>
      </c>
    </row>
    <row r="93" spans="1:10" ht="13.5" customHeight="1">
      <c r="A93" s="385" t="s">
        <v>2830</v>
      </c>
      <c r="B93" s="385"/>
      <c r="C93" s="385"/>
      <c r="D93" s="385"/>
      <c r="E93" s="385"/>
      <c r="F93" s="385"/>
      <c r="G93" s="15">
        <v>84</v>
      </c>
      <c r="H93" s="16"/>
      <c r="I93" s="67">
        <v>1670218</v>
      </c>
      <c r="J93" s="67">
        <v>2046613</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376396</v>
      </c>
      <c r="J95" s="66">
        <f>J96-J97</f>
        <v>319715</v>
      </c>
      <c r="L95" s="2" t="s">
        <v>1209</v>
      </c>
    </row>
    <row r="96" spans="1:10" ht="13.5" customHeight="1">
      <c r="A96" s="385" t="s">
        <v>1257</v>
      </c>
      <c r="B96" s="385"/>
      <c r="C96" s="385"/>
      <c r="D96" s="385"/>
      <c r="E96" s="385"/>
      <c r="F96" s="385"/>
      <c r="G96" s="15">
        <v>87</v>
      </c>
      <c r="H96" s="16"/>
      <c r="I96" s="67">
        <v>376396</v>
      </c>
      <c r="J96" s="67">
        <v>319715</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850000</v>
      </c>
      <c r="J106" s="66">
        <f>SUM(J107:J117)</f>
        <v>1537500</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v>850000</v>
      </c>
      <c r="J112" s="67">
        <v>1537500</v>
      </c>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11839544</v>
      </c>
      <c r="J118" s="66">
        <f>SUM(J119:J132)</f>
        <v>8914378</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v>500000</v>
      </c>
      <c r="J124" s="67">
        <v>725000</v>
      </c>
    </row>
    <row r="125" spans="1:10" ht="13.5" customHeight="1">
      <c r="A125" s="385" t="s">
        <v>2016</v>
      </c>
      <c r="B125" s="385"/>
      <c r="C125" s="385"/>
      <c r="D125" s="385"/>
      <c r="E125" s="385"/>
      <c r="F125" s="385"/>
      <c r="G125" s="15">
        <v>116</v>
      </c>
      <c r="H125" s="16"/>
      <c r="I125" s="67">
        <v>345263</v>
      </c>
      <c r="J125" s="67">
        <v>348103</v>
      </c>
    </row>
    <row r="126" spans="1:10" ht="13.5" customHeight="1">
      <c r="A126" s="385" t="s">
        <v>2017</v>
      </c>
      <c r="B126" s="385"/>
      <c r="C126" s="385"/>
      <c r="D126" s="385"/>
      <c r="E126" s="385"/>
      <c r="F126" s="385"/>
      <c r="G126" s="15">
        <v>117</v>
      </c>
      <c r="H126" s="16"/>
      <c r="I126" s="67">
        <v>5062173</v>
      </c>
      <c r="J126" s="67">
        <v>1552128</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1205440</v>
      </c>
      <c r="J128" s="67">
        <v>1339307</v>
      </c>
    </row>
    <row r="129" spans="1:10" ht="13.5" customHeight="1">
      <c r="A129" s="385" t="s">
        <v>2023</v>
      </c>
      <c r="B129" s="385"/>
      <c r="C129" s="385"/>
      <c r="D129" s="385"/>
      <c r="E129" s="385"/>
      <c r="F129" s="385"/>
      <c r="G129" s="15">
        <v>120</v>
      </c>
      <c r="H129" s="16"/>
      <c r="I129" s="67">
        <v>659780</v>
      </c>
      <c r="J129" s="67">
        <v>962226</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v>4066888</v>
      </c>
      <c r="J132" s="67">
        <v>3987614</v>
      </c>
    </row>
    <row r="133" spans="1:10" ht="24.75" customHeight="1">
      <c r="A133" s="387" t="s">
        <v>593</v>
      </c>
      <c r="B133" s="387"/>
      <c r="C133" s="387"/>
      <c r="D133" s="387"/>
      <c r="E133" s="387"/>
      <c r="F133" s="387"/>
      <c r="G133" s="15">
        <v>124</v>
      </c>
      <c r="H133" s="16"/>
      <c r="I133" s="67">
        <v>2149208</v>
      </c>
      <c r="J133" s="67">
        <v>2761620</v>
      </c>
    </row>
    <row r="134" spans="1:10" ht="13.5" customHeight="1">
      <c r="A134" s="387" t="s">
        <v>360</v>
      </c>
      <c r="B134" s="387"/>
      <c r="C134" s="387"/>
      <c r="D134" s="387"/>
      <c r="E134" s="387"/>
      <c r="F134" s="387"/>
      <c r="G134" s="15">
        <v>125</v>
      </c>
      <c r="H134" s="16"/>
      <c r="I134" s="66">
        <f>I76+I99+I106+I118+I133</f>
        <v>23450472</v>
      </c>
      <c r="J134" s="66">
        <f>J76+J99+J106+J118+J133</f>
        <v>22144932</v>
      </c>
    </row>
    <row r="135" spans="1:10" ht="13.5" customHeight="1">
      <c r="A135" s="388" t="s">
        <v>1512</v>
      </c>
      <c r="B135" s="388"/>
      <c r="C135" s="388"/>
      <c r="D135" s="388"/>
      <c r="E135" s="388"/>
      <c r="F135" s="388"/>
      <c r="G135" s="17">
        <v>126</v>
      </c>
      <c r="H135" s="18"/>
      <c r="I135" s="68">
        <v>50728560</v>
      </c>
      <c r="J135" s="68">
        <v>53649730</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42" activePane="bottomLeft" state="frozen"/>
      <selection pane="topLeft" activeCell="A1" sqref="A1"/>
      <selection pane="bottomLeft" activeCell="J66" sqref="J66"/>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01.01.2021. do 31.12.2021.</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14001865632; GRADSKO KOMUNALNO PODUZEĆE ČAKOM d.o.o.</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36852557</v>
      </c>
      <c r="J8" s="80">
        <f>SUM(J9:J13)</f>
        <v>38517116</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35219970</v>
      </c>
      <c r="J10" s="67">
        <v>36466561</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1632587</v>
      </c>
      <c r="J13" s="67">
        <v>2050555</v>
      </c>
    </row>
    <row r="14" spans="1:10" s="2" customFormat="1" ht="14.25" customHeight="1">
      <c r="A14" s="387" t="s">
        <v>2492</v>
      </c>
      <c r="B14" s="387"/>
      <c r="C14" s="387"/>
      <c r="D14" s="387"/>
      <c r="E14" s="387"/>
      <c r="F14" s="387"/>
      <c r="G14" s="15">
        <v>133</v>
      </c>
      <c r="H14" s="16"/>
      <c r="I14" s="66">
        <f>I15+I16+I20+I24+I25+I26+I29+I36</f>
        <v>36456307</v>
      </c>
      <c r="J14" s="66">
        <f>J15+J16+J20+J24+J25+J26+J29+J36</f>
        <v>38169161</v>
      </c>
    </row>
    <row r="15" spans="1:12" s="2" customFormat="1" ht="14.25" customHeight="1">
      <c r="A15" s="385" t="s">
        <v>1005</v>
      </c>
      <c r="B15" s="385"/>
      <c r="C15" s="385"/>
      <c r="D15" s="385"/>
      <c r="E15" s="385"/>
      <c r="F15" s="385"/>
      <c r="G15" s="15">
        <v>134</v>
      </c>
      <c r="H15" s="16"/>
      <c r="I15" s="67">
        <v>-167657</v>
      </c>
      <c r="J15" s="67">
        <v>-322214</v>
      </c>
      <c r="L15" s="2" t="s">
        <v>1209</v>
      </c>
    </row>
    <row r="16" spans="1:10" s="2" customFormat="1" ht="14.25" customHeight="1">
      <c r="A16" s="385" t="s">
        <v>2493</v>
      </c>
      <c r="B16" s="385"/>
      <c r="C16" s="385"/>
      <c r="D16" s="385"/>
      <c r="E16" s="385"/>
      <c r="F16" s="385"/>
      <c r="G16" s="15">
        <v>135</v>
      </c>
      <c r="H16" s="16"/>
      <c r="I16" s="66">
        <f>SUM(I17:I19)</f>
        <v>8937587</v>
      </c>
      <c r="J16" s="66">
        <f>SUM(J17:J19)</f>
        <v>8939496</v>
      </c>
    </row>
    <row r="17" spans="1:10" s="2" customFormat="1" ht="14.25" customHeight="1">
      <c r="A17" s="414" t="s">
        <v>1273</v>
      </c>
      <c r="B17" s="414"/>
      <c r="C17" s="414"/>
      <c r="D17" s="414"/>
      <c r="E17" s="414"/>
      <c r="F17" s="414"/>
      <c r="G17" s="15">
        <v>136</v>
      </c>
      <c r="H17" s="16"/>
      <c r="I17" s="67">
        <v>4180751</v>
      </c>
      <c r="J17" s="67">
        <v>4365827</v>
      </c>
    </row>
    <row r="18" spans="1:10" s="2" customFormat="1" ht="14.25" customHeight="1">
      <c r="A18" s="414" t="s">
        <v>1274</v>
      </c>
      <c r="B18" s="414"/>
      <c r="C18" s="414"/>
      <c r="D18" s="414"/>
      <c r="E18" s="414"/>
      <c r="F18" s="414"/>
      <c r="G18" s="15">
        <v>137</v>
      </c>
      <c r="H18" s="16"/>
      <c r="I18" s="67">
        <v>1337508</v>
      </c>
      <c r="J18" s="67">
        <v>1395498</v>
      </c>
    </row>
    <row r="19" spans="1:10" s="2" customFormat="1" ht="14.25" customHeight="1">
      <c r="A19" s="414" t="s">
        <v>2959</v>
      </c>
      <c r="B19" s="414"/>
      <c r="C19" s="414"/>
      <c r="D19" s="414"/>
      <c r="E19" s="414"/>
      <c r="F19" s="414"/>
      <c r="G19" s="15">
        <v>138</v>
      </c>
      <c r="H19" s="16"/>
      <c r="I19" s="67">
        <v>3419328</v>
      </c>
      <c r="J19" s="67">
        <v>3178171</v>
      </c>
    </row>
    <row r="20" spans="1:10" s="2" customFormat="1" ht="14.25" customHeight="1">
      <c r="A20" s="385" t="s">
        <v>2494</v>
      </c>
      <c r="B20" s="385"/>
      <c r="C20" s="385"/>
      <c r="D20" s="385"/>
      <c r="E20" s="385"/>
      <c r="F20" s="385"/>
      <c r="G20" s="15">
        <v>139</v>
      </c>
      <c r="H20" s="16"/>
      <c r="I20" s="66">
        <f>SUM(I21:I23)</f>
        <v>16497869</v>
      </c>
      <c r="J20" s="66">
        <f>SUM(J21:J23)</f>
        <v>17841003</v>
      </c>
    </row>
    <row r="21" spans="1:10" s="2" customFormat="1" ht="14.25" customHeight="1">
      <c r="A21" s="414" t="s">
        <v>960</v>
      </c>
      <c r="B21" s="414"/>
      <c r="C21" s="414"/>
      <c r="D21" s="414"/>
      <c r="E21" s="414"/>
      <c r="F21" s="414"/>
      <c r="G21" s="15">
        <v>140</v>
      </c>
      <c r="H21" s="16"/>
      <c r="I21" s="67">
        <v>10736744</v>
      </c>
      <c r="J21" s="67">
        <v>11620037</v>
      </c>
    </row>
    <row r="22" spans="1:10" s="2" customFormat="1" ht="14.25" customHeight="1">
      <c r="A22" s="414" t="s">
        <v>1883</v>
      </c>
      <c r="B22" s="414"/>
      <c r="C22" s="414"/>
      <c r="D22" s="414"/>
      <c r="E22" s="414"/>
      <c r="F22" s="414"/>
      <c r="G22" s="15">
        <v>141</v>
      </c>
      <c r="H22" s="16"/>
      <c r="I22" s="67">
        <v>3421999</v>
      </c>
      <c r="J22" s="67">
        <v>3710170</v>
      </c>
    </row>
    <row r="23" spans="1:10" s="2" customFormat="1" ht="14.25" customHeight="1">
      <c r="A23" s="414" t="s">
        <v>1884</v>
      </c>
      <c r="B23" s="414"/>
      <c r="C23" s="414"/>
      <c r="D23" s="414"/>
      <c r="E23" s="414"/>
      <c r="F23" s="414"/>
      <c r="G23" s="15">
        <v>142</v>
      </c>
      <c r="H23" s="16"/>
      <c r="I23" s="67">
        <v>2339126</v>
      </c>
      <c r="J23" s="67">
        <v>2510796</v>
      </c>
    </row>
    <row r="24" spans="1:10" s="2" customFormat="1" ht="14.25" customHeight="1">
      <c r="A24" s="385" t="s">
        <v>1006</v>
      </c>
      <c r="B24" s="385"/>
      <c r="C24" s="385"/>
      <c r="D24" s="385"/>
      <c r="E24" s="385"/>
      <c r="F24" s="385"/>
      <c r="G24" s="15">
        <v>143</v>
      </c>
      <c r="H24" s="16"/>
      <c r="I24" s="67">
        <v>1958797</v>
      </c>
      <c r="J24" s="67">
        <v>2422415</v>
      </c>
    </row>
    <row r="25" spans="1:10" s="2" customFormat="1" ht="14.25" customHeight="1">
      <c r="A25" s="385" t="s">
        <v>1007</v>
      </c>
      <c r="B25" s="385"/>
      <c r="C25" s="385"/>
      <c r="D25" s="385"/>
      <c r="E25" s="385"/>
      <c r="F25" s="385"/>
      <c r="G25" s="15">
        <v>144</v>
      </c>
      <c r="H25" s="16"/>
      <c r="I25" s="67">
        <v>8396906</v>
      </c>
      <c r="J25" s="67">
        <v>8075226</v>
      </c>
    </row>
    <row r="26" spans="1:12" s="2" customFormat="1" ht="14.25" customHeight="1">
      <c r="A26" s="385" t="s">
        <v>2495</v>
      </c>
      <c r="B26" s="385"/>
      <c r="C26" s="385"/>
      <c r="D26" s="385"/>
      <c r="E26" s="385"/>
      <c r="F26" s="385"/>
      <c r="G26" s="15">
        <v>145</v>
      </c>
      <c r="H26" s="16"/>
      <c r="I26" s="66">
        <f>SUM(I27:I28)</f>
        <v>823429</v>
      </c>
      <c r="J26" s="66">
        <f>SUM(J27:J28)</f>
        <v>1121553</v>
      </c>
      <c r="L26" s="2" t="s">
        <v>1209</v>
      </c>
    </row>
    <row r="27" spans="1:12" s="2" customFormat="1" ht="14.25" customHeight="1">
      <c r="A27" s="414" t="s">
        <v>1275</v>
      </c>
      <c r="B27" s="414"/>
      <c r="C27" s="414"/>
      <c r="D27" s="414"/>
      <c r="E27" s="414"/>
      <c r="F27" s="414"/>
      <c r="G27" s="15">
        <v>146</v>
      </c>
      <c r="H27" s="16"/>
      <c r="I27" s="67"/>
      <c r="J27" s="67"/>
      <c r="L27" s="2" t="s">
        <v>1209</v>
      </c>
    </row>
    <row r="28" spans="1:12" s="2" customFormat="1" ht="14.25" customHeight="1">
      <c r="A28" s="414" t="s">
        <v>1276</v>
      </c>
      <c r="B28" s="414"/>
      <c r="C28" s="414"/>
      <c r="D28" s="414"/>
      <c r="E28" s="414"/>
      <c r="F28" s="414"/>
      <c r="G28" s="15">
        <v>147</v>
      </c>
      <c r="H28" s="16"/>
      <c r="I28" s="67">
        <v>823429</v>
      </c>
      <c r="J28" s="67">
        <v>1121553</v>
      </c>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c r="J30" s="67"/>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c r="J32" s="67"/>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c r="J35" s="67"/>
      <c r="L35" s="2" t="s">
        <v>1209</v>
      </c>
    </row>
    <row r="36" spans="1:10" s="2" customFormat="1" ht="14.25" customHeight="1">
      <c r="A36" s="385" t="s">
        <v>147</v>
      </c>
      <c r="B36" s="385"/>
      <c r="C36" s="385"/>
      <c r="D36" s="385"/>
      <c r="E36" s="385"/>
      <c r="F36" s="385"/>
      <c r="G36" s="15">
        <v>155</v>
      </c>
      <c r="H36" s="16"/>
      <c r="I36" s="67">
        <v>9376</v>
      </c>
      <c r="J36" s="67">
        <v>91682</v>
      </c>
    </row>
    <row r="37" spans="1:10" s="2" customFormat="1" ht="14.25" customHeight="1">
      <c r="A37" s="387" t="s">
        <v>2497</v>
      </c>
      <c r="B37" s="387"/>
      <c r="C37" s="387"/>
      <c r="D37" s="387"/>
      <c r="E37" s="387"/>
      <c r="F37" s="387"/>
      <c r="G37" s="15">
        <v>156</v>
      </c>
      <c r="H37" s="16"/>
      <c r="I37" s="66">
        <f>SUM(I38:I47)</f>
        <v>132194</v>
      </c>
      <c r="J37" s="66">
        <f>SUM(J38:J47)</f>
        <v>138048</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132194</v>
      </c>
      <c r="J44" s="67">
        <v>138048</v>
      </c>
    </row>
    <row r="45" spans="1:10" s="2" customFormat="1" ht="14.25" customHeight="1">
      <c r="A45" s="385" t="s">
        <v>2961</v>
      </c>
      <c r="B45" s="385"/>
      <c r="C45" s="385"/>
      <c r="D45" s="385"/>
      <c r="E45" s="385"/>
      <c r="F45" s="385"/>
      <c r="G45" s="15">
        <v>164</v>
      </c>
      <c r="H45" s="16"/>
      <c r="I45" s="67"/>
      <c r="J45" s="67"/>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17509</v>
      </c>
      <c r="J48" s="66">
        <f>SUM(J49:J55)</f>
        <v>37939</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17506</v>
      </c>
      <c r="J51" s="67">
        <v>36777</v>
      </c>
    </row>
    <row r="52" spans="1:10" s="2" customFormat="1" ht="14.25" customHeight="1">
      <c r="A52" s="413" t="s">
        <v>1090</v>
      </c>
      <c r="B52" s="413"/>
      <c r="C52" s="413"/>
      <c r="D52" s="413"/>
      <c r="E52" s="413"/>
      <c r="F52" s="413"/>
      <c r="G52" s="15">
        <v>171</v>
      </c>
      <c r="H52" s="16"/>
      <c r="I52" s="67">
        <v>3</v>
      </c>
      <c r="J52" s="67">
        <v>1162</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36984751</v>
      </c>
      <c r="J60" s="66">
        <f>J8+J37+J56+J57</f>
        <v>38655164</v>
      </c>
    </row>
    <row r="61" spans="1:10" s="2" customFormat="1" ht="14.25" customHeight="1">
      <c r="A61" s="387" t="s">
        <v>2500</v>
      </c>
      <c r="B61" s="387"/>
      <c r="C61" s="387"/>
      <c r="D61" s="387"/>
      <c r="E61" s="387"/>
      <c r="F61" s="387"/>
      <c r="G61" s="15">
        <v>180</v>
      </c>
      <c r="H61" s="16"/>
      <c r="I61" s="66">
        <f>I14+I48+I58+I59</f>
        <v>36473816</v>
      </c>
      <c r="J61" s="66">
        <f>J14+J48+J58+J59</f>
        <v>38207100</v>
      </c>
    </row>
    <row r="62" spans="1:12" s="2" customFormat="1" ht="14.25" customHeight="1">
      <c r="A62" s="387" t="s">
        <v>2501</v>
      </c>
      <c r="B62" s="387"/>
      <c r="C62" s="387"/>
      <c r="D62" s="387"/>
      <c r="E62" s="387"/>
      <c r="F62" s="387"/>
      <c r="G62" s="15">
        <v>181</v>
      </c>
      <c r="H62" s="16"/>
      <c r="I62" s="66">
        <f>I60-I61</f>
        <v>510935</v>
      </c>
      <c r="J62" s="66">
        <f>J60-J61</f>
        <v>448064</v>
      </c>
      <c r="L62" s="2" t="s">
        <v>1209</v>
      </c>
    </row>
    <row r="63" spans="1:10" s="2" customFormat="1" ht="14.25" customHeight="1">
      <c r="A63" s="413" t="s">
        <v>2502</v>
      </c>
      <c r="B63" s="413"/>
      <c r="C63" s="413"/>
      <c r="D63" s="413"/>
      <c r="E63" s="413"/>
      <c r="F63" s="413"/>
      <c r="G63" s="15">
        <v>182</v>
      </c>
      <c r="H63" s="16"/>
      <c r="I63" s="66">
        <f>IF(I60&gt;I61,I60-I61,0)</f>
        <v>510935</v>
      </c>
      <c r="J63" s="66">
        <f>IF(J60&gt;J61,J60-J61,0)</f>
        <v>448064</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134539</v>
      </c>
      <c r="J65" s="67">
        <v>128349</v>
      </c>
      <c r="L65" s="2" t="s">
        <v>1209</v>
      </c>
    </row>
    <row r="66" spans="1:12" s="2" customFormat="1" ht="14.25" customHeight="1">
      <c r="A66" s="387" t="s">
        <v>2504</v>
      </c>
      <c r="B66" s="387"/>
      <c r="C66" s="387"/>
      <c r="D66" s="387"/>
      <c r="E66" s="387"/>
      <c r="F66" s="387"/>
      <c r="G66" s="15">
        <v>185</v>
      </c>
      <c r="H66" s="16"/>
      <c r="I66" s="66">
        <f>I62-I65</f>
        <v>376396</v>
      </c>
      <c r="J66" s="66">
        <f>J62-J65</f>
        <v>319715</v>
      </c>
      <c r="L66" s="2" t="s">
        <v>1209</v>
      </c>
    </row>
    <row r="67" spans="1:10" s="2" customFormat="1" ht="14.25" customHeight="1">
      <c r="A67" s="413" t="s">
        <v>2505</v>
      </c>
      <c r="B67" s="413"/>
      <c r="C67" s="413"/>
      <c r="D67" s="413"/>
      <c r="E67" s="413"/>
      <c r="F67" s="413"/>
      <c r="G67" s="15">
        <v>186</v>
      </c>
      <c r="H67" s="16"/>
      <c r="I67" s="66">
        <f>IF(I66&gt;0,I66,0)</f>
        <v>376396</v>
      </c>
      <c r="J67" s="66">
        <f>IF(J66&gt;0,J66,0)</f>
        <v>319715</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72:F72"/>
    <mergeCell ref="A68:F68"/>
    <mergeCell ref="A67:F67"/>
    <mergeCell ref="A65:F65"/>
    <mergeCell ref="A66:F66"/>
    <mergeCell ref="A64:F64"/>
    <mergeCell ref="A7:F7"/>
    <mergeCell ref="A11:F11"/>
    <mergeCell ref="A71:F71"/>
    <mergeCell ref="A55:F55"/>
    <mergeCell ref="A56:F56"/>
    <mergeCell ref="A61:F61"/>
    <mergeCell ref="A25:F25"/>
    <mergeCell ref="A12:F12"/>
    <mergeCell ref="A10:F10"/>
    <mergeCell ref="A14:F14"/>
    <mergeCell ref="A15:F15"/>
    <mergeCell ref="A13:F13"/>
    <mergeCell ref="A21:F21"/>
    <mergeCell ref="A9:F9"/>
    <mergeCell ref="A8:F8"/>
    <mergeCell ref="A22:F22"/>
    <mergeCell ref="A23:F23"/>
    <mergeCell ref="A24:F24"/>
    <mergeCell ref="A88:J88"/>
    <mergeCell ref="A18:F18"/>
    <mergeCell ref="A19:F19"/>
    <mergeCell ref="A26:F26"/>
    <mergeCell ref="A27:F27"/>
    <mergeCell ref="A29:F29"/>
    <mergeCell ref="A36:F36"/>
    <mergeCell ref="A34:F34"/>
    <mergeCell ref="A35:F35"/>
    <mergeCell ref="A30:F30"/>
    <mergeCell ref="A33:F33"/>
    <mergeCell ref="A5:J5"/>
    <mergeCell ref="A6:F6"/>
    <mergeCell ref="A2:I2"/>
    <mergeCell ref="A3:I3"/>
    <mergeCell ref="J2:J3"/>
    <mergeCell ref="A31:F31"/>
    <mergeCell ref="A16:F16"/>
    <mergeCell ref="A28:F28"/>
    <mergeCell ref="A17:F17"/>
    <mergeCell ref="A48:F48"/>
    <mergeCell ref="A46:F46"/>
    <mergeCell ref="A47:F47"/>
    <mergeCell ref="A49:F49"/>
    <mergeCell ref="A20:F20"/>
    <mergeCell ref="A39:F39"/>
    <mergeCell ref="A40:F40"/>
    <mergeCell ref="A38:F38"/>
    <mergeCell ref="A37:F37"/>
    <mergeCell ref="A32:F32"/>
    <mergeCell ref="A58:F58"/>
    <mergeCell ref="A59:F59"/>
    <mergeCell ref="A60:F60"/>
    <mergeCell ref="A62:F62"/>
    <mergeCell ref="A63:F63"/>
    <mergeCell ref="A52:F52"/>
    <mergeCell ref="A53:F53"/>
    <mergeCell ref="A54:F54"/>
    <mergeCell ref="A45:F45"/>
    <mergeCell ref="A42:F42"/>
    <mergeCell ref="A43:F43"/>
    <mergeCell ref="A41:F41"/>
    <mergeCell ref="A44:F44"/>
    <mergeCell ref="A102:F102"/>
    <mergeCell ref="A87:F87"/>
    <mergeCell ref="A50:F50"/>
    <mergeCell ref="A51:F51"/>
    <mergeCell ref="A57:F57"/>
    <mergeCell ref="A103:F103"/>
    <mergeCell ref="A104:F104"/>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47" t="s">
        <v>821</v>
      </c>
      <c r="B2" s="448"/>
      <c r="C2" s="448"/>
      <c r="D2" s="448"/>
      <c r="E2" s="448"/>
      <c r="F2" s="448"/>
      <c r="G2" s="448"/>
      <c r="H2" s="448"/>
      <c r="I2" s="449"/>
      <c r="J2" s="389" t="s">
        <v>1211</v>
      </c>
      <c r="Q2" s="70">
        <f>IF(MAX(I9:I88)&gt;0,1,0)</f>
        <v>0</v>
      </c>
      <c r="R2" s="69" t="s">
        <v>1204</v>
      </c>
    </row>
    <row r="3" spans="1:18" s="2" customFormat="1" ht="19.5" customHeight="1" thickBot="1">
      <c r="A3" s="450" t="str">
        <f>"za razdoblje "&amp;IF(RefStr!C4&lt;&gt;"",TEXT(RefStr!C4,"DD.MM.YYYY."),"__.__.____.")&amp;" do "&amp;IF(RefStr!F4&lt;&gt;"",TEXT(RefStr!F4,"DD.MM.YYYY."),"__.__.____.")</f>
        <v>za razdoblje 01.01.2021. do 31.12.2021.</v>
      </c>
      <c r="B3" s="451"/>
      <c r="C3" s="451"/>
      <c r="D3" s="451"/>
      <c r="E3" s="451"/>
      <c r="F3" s="451"/>
      <c r="G3" s="451"/>
      <c r="H3" s="451"/>
      <c r="I3" s="452"/>
      <c r="J3" s="437"/>
      <c r="Q3" s="70">
        <f>IF(MAX(J9:J88)&gt;0,1,0)</f>
        <v>0</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14001865632; GRADSKO KOMUNALNO PODUZEĆE ČAKOM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c r="J37" s="90"/>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14001865632; GRADSKO KOMUNALNO PODUZEĆE ČAKOM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14001865632; GRADSKO KOMUNALNO PODUZEĆE ČAKOM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21:F21"/>
    <mergeCell ref="A45:F45"/>
    <mergeCell ref="A43:F43"/>
    <mergeCell ref="A19:F19"/>
    <mergeCell ref="A30:F30"/>
    <mergeCell ref="A31:F31"/>
    <mergeCell ref="A28:F28"/>
    <mergeCell ref="A29:F29"/>
    <mergeCell ref="A20:F20"/>
    <mergeCell ref="A54:F54"/>
    <mergeCell ref="A53:F53"/>
    <mergeCell ref="A50:F50"/>
    <mergeCell ref="A48:F48"/>
    <mergeCell ref="A51:F51"/>
    <mergeCell ref="A24:F24"/>
    <mergeCell ref="A37:F37"/>
    <mergeCell ref="A39:F39"/>
    <mergeCell ref="A38:J38"/>
    <mergeCell ref="A52:F52"/>
    <mergeCell ref="A49:F49"/>
    <mergeCell ref="A47:F47"/>
    <mergeCell ref="A40:F40"/>
    <mergeCell ref="A46:F46"/>
    <mergeCell ref="A44:F44"/>
    <mergeCell ref="A34:F34"/>
    <mergeCell ref="A35:F35"/>
    <mergeCell ref="A32:F32"/>
    <mergeCell ref="A33:F33"/>
    <mergeCell ref="A41:F41"/>
    <mergeCell ref="A42:F42"/>
    <mergeCell ref="A36:F36"/>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6" t="s">
        <v>158</v>
      </c>
      <c r="B2" s="476"/>
      <c r="C2" s="476"/>
      <c r="D2" s="476"/>
      <c r="E2" s="476"/>
      <c r="F2" s="476"/>
      <c r="G2" s="477"/>
      <c r="H2" s="477"/>
      <c r="I2" s="131"/>
      <c r="J2" s="131"/>
      <c r="K2" s="131"/>
      <c r="L2" s="131"/>
      <c r="M2" s="131"/>
      <c r="N2" s="131"/>
      <c r="O2" s="132"/>
      <c r="P2" s="389" t="s">
        <v>1214</v>
      </c>
      <c r="Q2" s="466"/>
      <c r="R2" s="466"/>
      <c r="S2" s="466"/>
      <c r="T2" s="466"/>
      <c r="U2" s="466"/>
      <c r="V2" s="466"/>
      <c r="W2" s="466"/>
      <c r="X2" s="466"/>
      <c r="Y2" s="467"/>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01.01.2021. do 31.12.2021.</v>
      </c>
      <c r="B3" s="484"/>
      <c r="C3" s="484"/>
      <c r="D3" s="484"/>
      <c r="E3" s="484"/>
      <c r="F3" s="484"/>
      <c r="G3" s="485"/>
      <c r="H3" s="485"/>
      <c r="I3" s="131"/>
      <c r="J3" s="131"/>
      <c r="K3" s="131"/>
      <c r="L3" s="131"/>
      <c r="M3" s="131"/>
      <c r="N3" s="131"/>
      <c r="O3" s="132"/>
      <c r="P3" s="437"/>
      <c r="Q3" s="466"/>
      <c r="R3" s="466"/>
      <c r="S3" s="466"/>
      <c r="T3" s="466"/>
      <c r="U3" s="466"/>
      <c r="V3" s="466"/>
      <c r="W3" s="466"/>
      <c r="X3" s="466"/>
      <c r="Y3" s="467"/>
      <c r="Z3" s="475"/>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1" t="str">
        <f>"Obveznik: "&amp;IF(RefStr!C27&lt;&gt;"",RefStr!C27,"________")&amp;"; "&amp;IF(RefStr!C29&lt;&gt;"",RefStr!C29,"________________________________________________________"&amp;"; "&amp;IF(RefStr!F31&lt;&gt;"",RefStr!F31,"_______________"))</f>
        <v>Obveznik: 14001865632; GRADSKO KOMUNALNO PODUZEĆE ČAKOM d.o.o.</v>
      </c>
      <c r="B5" s="472"/>
      <c r="C5" s="472"/>
      <c r="D5" s="472"/>
      <c r="E5" s="472"/>
      <c r="F5" s="472"/>
      <c r="G5" s="472"/>
      <c r="H5" s="472"/>
      <c r="I5" s="472"/>
      <c r="J5" s="472"/>
      <c r="K5" s="472"/>
      <c r="L5" s="472"/>
      <c r="M5" s="472"/>
      <c r="N5" s="472"/>
      <c r="O5" s="473"/>
      <c r="P5" s="473"/>
      <c r="Q5" s="473"/>
      <c r="R5" s="473"/>
      <c r="S5" s="473"/>
      <c r="T5" s="473"/>
      <c r="U5" s="473"/>
      <c r="V5" s="473"/>
      <c r="W5" s="473"/>
      <c r="X5" s="473"/>
      <c r="Y5" s="473"/>
      <c r="Z5" s="474"/>
      <c r="AC5" s="3">
        <f>IF(OR(MAX(Y10:Y33)&lt;&gt;0,MIN(Y10:Y33)&lt;&gt;0),1,0)</f>
        <v>0</v>
      </c>
      <c r="AD5" s="12" t="s">
        <v>2651</v>
      </c>
    </row>
    <row r="6" spans="1:30" s="3" customFormat="1" ht="15" customHeight="1" thickBot="1">
      <c r="A6" s="455" t="s">
        <v>617</v>
      </c>
      <c r="B6" s="463"/>
      <c r="C6" s="463"/>
      <c r="D6" s="463"/>
      <c r="E6" s="463"/>
      <c r="F6" s="463"/>
      <c r="G6" s="456" t="s">
        <v>633</v>
      </c>
      <c r="H6" s="401" t="s">
        <v>2275</v>
      </c>
      <c r="I6" s="456" t="s">
        <v>615</v>
      </c>
      <c r="J6" s="456"/>
      <c r="K6" s="456"/>
      <c r="L6" s="456"/>
      <c r="M6" s="456"/>
      <c r="N6" s="456"/>
      <c r="O6" s="456"/>
      <c r="P6" s="456"/>
      <c r="Q6" s="456"/>
      <c r="R6" s="456"/>
      <c r="S6" s="456"/>
      <c r="T6" s="456"/>
      <c r="U6" s="456"/>
      <c r="V6" s="456"/>
      <c r="W6" s="456"/>
      <c r="X6" s="456"/>
      <c r="Y6" s="456" t="s">
        <v>1217</v>
      </c>
      <c r="Z6" s="478" t="s">
        <v>616</v>
      </c>
      <c r="AC6" s="3">
        <f>IF(OR(MAX(Y39:Y62)&lt;&gt;0,MIN(Y39:Y62)&lt;&gt;0),1,0)</f>
        <v>0</v>
      </c>
      <c r="AD6" s="12" t="s">
        <v>710</v>
      </c>
    </row>
    <row r="7" spans="1:30" s="3" customFormat="1" ht="67.5" customHeight="1" thickBot="1">
      <c r="A7" s="464"/>
      <c r="B7" s="465"/>
      <c r="C7" s="465"/>
      <c r="D7" s="465"/>
      <c r="E7" s="465"/>
      <c r="F7" s="465"/>
      <c r="G7" s="461"/>
      <c r="H7" s="461"/>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61"/>
      <c r="Z7" s="479"/>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8" t="s">
        <v>618</v>
      </c>
      <c r="B9" s="468"/>
      <c r="C9" s="468"/>
      <c r="D9" s="468"/>
      <c r="E9" s="468"/>
      <c r="F9" s="468"/>
      <c r="G9" s="468"/>
      <c r="H9" s="468"/>
      <c r="I9" s="468"/>
      <c r="J9" s="468"/>
      <c r="K9" s="468"/>
      <c r="L9" s="468"/>
      <c r="M9" s="468"/>
      <c r="N9" s="468"/>
      <c r="O9" s="469"/>
      <c r="P9" s="469"/>
      <c r="Q9" s="469"/>
      <c r="R9" s="469"/>
      <c r="S9" s="469"/>
      <c r="T9" s="469"/>
      <c r="U9" s="469"/>
      <c r="V9" s="469"/>
      <c r="W9" s="469"/>
      <c r="X9" s="469"/>
      <c r="Y9" s="469"/>
      <c r="Z9" s="470"/>
      <c r="AD9" s="134"/>
      <c r="AE9" s="135"/>
      <c r="AF9" s="134"/>
      <c r="AG9" s="135"/>
    </row>
    <row r="10" spans="1:33" s="3" customFormat="1" ht="13.5" customHeight="1">
      <c r="A10" s="462" t="s">
        <v>498</v>
      </c>
      <c r="B10" s="462"/>
      <c r="C10" s="462"/>
      <c r="D10" s="462"/>
      <c r="E10" s="462"/>
      <c r="F10" s="462"/>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80" t="s">
        <v>499</v>
      </c>
      <c r="B11" s="480"/>
      <c r="C11" s="480"/>
      <c r="D11" s="480"/>
      <c r="E11" s="480"/>
      <c r="F11" s="480"/>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80" t="s">
        <v>500</v>
      </c>
      <c r="B12" s="480"/>
      <c r="C12" s="480"/>
      <c r="D12" s="480"/>
      <c r="E12" s="480"/>
      <c r="F12" s="480"/>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2" t="s">
        <v>501</v>
      </c>
      <c r="B13" s="462"/>
      <c r="C13" s="462"/>
      <c r="D13" s="462"/>
      <c r="E13" s="462"/>
      <c r="F13" s="462"/>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80" t="s">
        <v>502</v>
      </c>
      <c r="B14" s="480"/>
      <c r="C14" s="480"/>
      <c r="D14" s="480"/>
      <c r="E14" s="480"/>
      <c r="F14" s="480"/>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80" t="s">
        <v>503</v>
      </c>
      <c r="B15" s="480"/>
      <c r="C15" s="480"/>
      <c r="D15" s="480"/>
      <c r="E15" s="480"/>
      <c r="F15" s="480"/>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80" t="s">
        <v>2544</v>
      </c>
      <c r="B16" s="480"/>
      <c r="C16" s="480"/>
      <c r="D16" s="480"/>
      <c r="E16" s="480"/>
      <c r="F16" s="480"/>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80" t="s">
        <v>2545</v>
      </c>
      <c r="B17" s="480"/>
      <c r="C17" s="480"/>
      <c r="D17" s="480"/>
      <c r="E17" s="480"/>
      <c r="F17" s="480"/>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80" t="s">
        <v>2546</v>
      </c>
      <c r="B18" s="480"/>
      <c r="C18" s="480"/>
      <c r="D18" s="480"/>
      <c r="E18" s="480"/>
      <c r="F18" s="480"/>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80" t="s">
        <v>508</v>
      </c>
      <c r="B19" s="480"/>
      <c r="C19" s="480"/>
      <c r="D19" s="480"/>
      <c r="E19" s="480"/>
      <c r="F19" s="480"/>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80" t="s">
        <v>2547</v>
      </c>
      <c r="B20" s="480"/>
      <c r="C20" s="480"/>
      <c r="D20" s="480"/>
      <c r="E20" s="480"/>
      <c r="F20" s="480"/>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80" t="s">
        <v>1140</v>
      </c>
      <c r="B21" s="480"/>
      <c r="C21" s="480"/>
      <c r="D21" s="480"/>
      <c r="E21" s="480"/>
      <c r="F21" s="480"/>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80" t="s">
        <v>1141</v>
      </c>
      <c r="B22" s="480"/>
      <c r="C22" s="480"/>
      <c r="D22" s="480"/>
      <c r="E22" s="480"/>
      <c r="F22" s="480"/>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80" t="s">
        <v>1142</v>
      </c>
      <c r="B23" s="480"/>
      <c r="C23" s="480"/>
      <c r="D23" s="480"/>
      <c r="E23" s="480"/>
      <c r="F23" s="480"/>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80" t="s">
        <v>2548</v>
      </c>
      <c r="B24" s="480"/>
      <c r="C24" s="480"/>
      <c r="D24" s="480"/>
      <c r="E24" s="480"/>
      <c r="F24" s="480"/>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80" t="s">
        <v>2559</v>
      </c>
      <c r="B25" s="480"/>
      <c r="C25" s="480"/>
      <c r="D25" s="480"/>
      <c r="E25" s="480"/>
      <c r="F25" s="480"/>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80" t="s">
        <v>2549</v>
      </c>
      <c r="B26" s="480"/>
      <c r="C26" s="480"/>
      <c r="D26" s="480"/>
      <c r="E26" s="480"/>
      <c r="F26" s="480"/>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80" t="s">
        <v>1143</v>
      </c>
      <c r="B27" s="480"/>
      <c r="C27" s="480"/>
      <c r="D27" s="480"/>
      <c r="E27" s="480"/>
      <c r="F27" s="480"/>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80" t="s">
        <v>1731</v>
      </c>
      <c r="B28" s="480"/>
      <c r="C28" s="480"/>
      <c r="D28" s="480"/>
      <c r="E28" s="480"/>
      <c r="F28" s="480"/>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80" t="s">
        <v>1732</v>
      </c>
      <c r="B29" s="480"/>
      <c r="C29" s="480"/>
      <c r="D29" s="480"/>
      <c r="E29" s="480"/>
      <c r="F29" s="480"/>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80" t="s">
        <v>486</v>
      </c>
      <c r="B30" s="480"/>
      <c r="C30" s="480"/>
      <c r="D30" s="480"/>
      <c r="E30" s="480"/>
      <c r="F30" s="480"/>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80" t="s">
        <v>487</v>
      </c>
      <c r="B31" s="480"/>
      <c r="C31" s="480"/>
      <c r="D31" s="480"/>
      <c r="E31" s="480"/>
      <c r="F31" s="480"/>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80" t="s">
        <v>485</v>
      </c>
      <c r="B32" s="480"/>
      <c r="C32" s="480"/>
      <c r="D32" s="480"/>
      <c r="E32" s="480"/>
      <c r="F32" s="480"/>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62" t="s">
        <v>2551</v>
      </c>
      <c r="B39" s="462"/>
      <c r="C39" s="462"/>
      <c r="D39" s="462"/>
      <c r="E39" s="462"/>
      <c r="F39" s="462"/>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80" t="s">
        <v>499</v>
      </c>
      <c r="B40" s="480"/>
      <c r="C40" s="480"/>
      <c r="D40" s="480"/>
      <c r="E40" s="480"/>
      <c r="F40" s="480"/>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80" t="s">
        <v>500</v>
      </c>
      <c r="B41" s="480"/>
      <c r="C41" s="480"/>
      <c r="D41" s="480"/>
      <c r="E41" s="480"/>
      <c r="F41" s="480"/>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2" t="s">
        <v>2552</v>
      </c>
      <c r="B42" s="462"/>
      <c r="C42" s="462"/>
      <c r="D42" s="462"/>
      <c r="E42" s="462"/>
      <c r="F42" s="462"/>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80" t="s">
        <v>502</v>
      </c>
      <c r="B43" s="480"/>
      <c r="C43" s="480"/>
      <c r="D43" s="480"/>
      <c r="E43" s="480"/>
      <c r="F43" s="480"/>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80" t="s">
        <v>503</v>
      </c>
      <c r="B44" s="480"/>
      <c r="C44" s="480"/>
      <c r="D44" s="480"/>
      <c r="E44" s="480"/>
      <c r="F44" s="480"/>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80" t="s">
        <v>2553</v>
      </c>
      <c r="B45" s="480"/>
      <c r="C45" s="480"/>
      <c r="D45" s="480"/>
      <c r="E45" s="480"/>
      <c r="F45" s="480"/>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80" t="s">
        <v>2545</v>
      </c>
      <c r="B46" s="480"/>
      <c r="C46" s="480"/>
      <c r="D46" s="480"/>
      <c r="E46" s="480"/>
      <c r="F46" s="480"/>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80" t="s">
        <v>2546</v>
      </c>
      <c r="B47" s="480"/>
      <c r="C47" s="480"/>
      <c r="D47" s="480"/>
      <c r="E47" s="480"/>
      <c r="F47" s="480"/>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80" t="s">
        <v>508</v>
      </c>
      <c r="B48" s="480"/>
      <c r="C48" s="480"/>
      <c r="D48" s="480"/>
      <c r="E48" s="480"/>
      <c r="F48" s="480"/>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80" t="s">
        <v>2554</v>
      </c>
      <c r="B49" s="480"/>
      <c r="C49" s="480"/>
      <c r="D49" s="480"/>
      <c r="E49" s="480"/>
      <c r="F49" s="480"/>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80" t="s">
        <v>1140</v>
      </c>
      <c r="B50" s="480"/>
      <c r="C50" s="480"/>
      <c r="D50" s="480"/>
      <c r="E50" s="480"/>
      <c r="F50" s="480"/>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80" t="s">
        <v>1141</v>
      </c>
      <c r="B51" s="480"/>
      <c r="C51" s="480"/>
      <c r="D51" s="480"/>
      <c r="E51" s="480"/>
      <c r="F51" s="480"/>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80" t="s">
        <v>1142</v>
      </c>
      <c r="B52" s="480"/>
      <c r="C52" s="480"/>
      <c r="D52" s="480"/>
      <c r="E52" s="480"/>
      <c r="F52" s="480"/>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80" t="s">
        <v>2548</v>
      </c>
      <c r="B53" s="480"/>
      <c r="C53" s="480"/>
      <c r="D53" s="480"/>
      <c r="E53" s="480"/>
      <c r="F53" s="480"/>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80" t="s">
        <v>2555</v>
      </c>
      <c r="B54" s="480"/>
      <c r="C54" s="480"/>
      <c r="D54" s="480"/>
      <c r="E54" s="480"/>
      <c r="F54" s="480"/>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80" t="s">
        <v>2556</v>
      </c>
      <c r="B55" s="480"/>
      <c r="C55" s="480"/>
      <c r="D55" s="480"/>
      <c r="E55" s="480"/>
      <c r="F55" s="480"/>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80" t="s">
        <v>1143</v>
      </c>
      <c r="B56" s="480"/>
      <c r="C56" s="480"/>
      <c r="D56" s="480"/>
      <c r="E56" s="480"/>
      <c r="F56" s="480"/>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80" t="s">
        <v>1731</v>
      </c>
      <c r="B57" s="480"/>
      <c r="C57" s="480"/>
      <c r="D57" s="480"/>
      <c r="E57" s="480"/>
      <c r="F57" s="480"/>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80" t="s">
        <v>491</v>
      </c>
      <c r="B58" s="480"/>
      <c r="C58" s="480"/>
      <c r="D58" s="480"/>
      <c r="E58" s="480"/>
      <c r="F58" s="480"/>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80" t="s">
        <v>492</v>
      </c>
      <c r="B59" s="480"/>
      <c r="C59" s="480"/>
      <c r="D59" s="480"/>
      <c r="E59" s="480"/>
      <c r="F59" s="480"/>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80" t="s">
        <v>493</v>
      </c>
      <c r="B60" s="480"/>
      <c r="C60" s="480"/>
      <c r="D60" s="480"/>
      <c r="E60" s="480"/>
      <c r="F60" s="480"/>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80" t="s">
        <v>485</v>
      </c>
      <c r="B61" s="480"/>
      <c r="C61" s="480"/>
      <c r="D61" s="480"/>
      <c r="E61" s="480"/>
      <c r="F61" s="480"/>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6:F56"/>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Z2:Z3"/>
    <mergeCell ref="P2:P3"/>
    <mergeCell ref="A2:H2"/>
    <mergeCell ref="Z6:Z7"/>
    <mergeCell ref="A11:F11"/>
    <mergeCell ref="A12:F12"/>
    <mergeCell ref="I6:X6"/>
    <mergeCell ref="Y6:Y7"/>
    <mergeCell ref="A10:F10"/>
    <mergeCell ref="A6:F7"/>
    <mergeCell ref="Q2:Y2"/>
    <mergeCell ref="Q3:Y3"/>
    <mergeCell ref="A9:Z9"/>
    <mergeCell ref="A5:Z5"/>
    <mergeCell ref="G6:G7"/>
    <mergeCell ref="H6:H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Korisnik</cp:lastModifiedBy>
  <cp:lastPrinted>2022-05-25T06:12:44Z</cp:lastPrinted>
  <dcterms:created xsi:type="dcterms:W3CDTF">2008-10-17T11:51:54Z</dcterms:created>
  <dcterms:modified xsi:type="dcterms:W3CDTF">2022-05-25T06:12:51Z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